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lexa486\Documents\CP2\Exam writing\2021\121 - P2 (AJ)\"/>
    </mc:Choice>
  </mc:AlternateContent>
  <xr:revisionPtr revIDLastSave="0" documentId="13_ncr:1_{35C8D6C7-37E4-45BD-A2DE-4A289D4DA36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arameters" sheetId="1" r:id="rId1"/>
    <sheet name="Mortality tables" sheetId="2" r:id="rId2"/>
    <sheet name="CI tables" sheetId="3" r:id="rId3"/>
    <sheet name="TA projections" sheetId="4" r:id="rId4"/>
    <sheet name="Annuity projections" sheetId="5" r:id="rId5"/>
    <sheet name="CI projections" sheetId="6" r:id="rId6"/>
    <sheet name="Overall capital calculations" sheetId="7" r:id="rId7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5" l="1"/>
  <c r="M9" i="5" s="1"/>
  <c r="M10" i="5" s="1"/>
  <c r="M11" i="5" s="1"/>
  <c r="M12" i="5" s="1"/>
  <c r="M13" i="5" s="1"/>
  <c r="M14" i="5" s="1"/>
  <c r="M15" i="5" s="1"/>
  <c r="M16" i="5" s="1"/>
  <c r="M17" i="5" s="1"/>
  <c r="M18" i="5" s="1"/>
  <c r="M19" i="5" s="1"/>
  <c r="M20" i="5" s="1"/>
  <c r="M21" i="5" s="1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M42" i="5" s="1"/>
  <c r="M43" i="5" s="1"/>
  <c r="M44" i="5" s="1"/>
  <c r="M45" i="5" s="1"/>
  <c r="M46" i="5" s="1"/>
  <c r="M47" i="5" s="1"/>
  <c r="M48" i="5" s="1"/>
  <c r="M49" i="5" s="1"/>
  <c r="M50" i="5" s="1"/>
  <c r="M51" i="5" s="1"/>
  <c r="M52" i="5" s="1"/>
  <c r="M53" i="5" s="1"/>
  <c r="M54" i="5" s="1"/>
  <c r="M55" i="5" s="1"/>
  <c r="M56" i="5" s="1"/>
  <c r="M57" i="5" s="1"/>
  <c r="M58" i="5" s="1"/>
  <c r="M59" i="5" s="1"/>
  <c r="M60" i="5" s="1"/>
  <c r="M61" i="5" s="1"/>
  <c r="M62" i="5"/>
  <c r="M63" i="5"/>
  <c r="M64" i="5"/>
  <c r="M65" i="5"/>
  <c r="M66" i="5"/>
  <c r="M67" i="5"/>
  <c r="M68" i="5"/>
  <c r="M69" i="5"/>
  <c r="M70" i="5"/>
  <c r="M71" i="5"/>
  <c r="M7" i="5"/>
  <c r="L8" i="5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/>
  <c r="L68" i="5"/>
  <c r="L69" i="5"/>
  <c r="L70" i="5"/>
  <c r="L71" i="5"/>
  <c r="L7" i="5"/>
  <c r="E8" i="5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/>
  <c r="E63" i="5"/>
  <c r="E64" i="5"/>
  <c r="E65" i="5"/>
  <c r="E66" i="5"/>
  <c r="E67" i="5"/>
  <c r="E68" i="5"/>
  <c r="E69" i="5"/>
  <c r="E70" i="5"/>
  <c r="E71" i="5"/>
  <c r="E7" i="5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D55" i="5" s="1"/>
  <c r="D56" i="5" s="1"/>
  <c r="D57" i="5" s="1"/>
  <c r="D58" i="5" s="1"/>
  <c r="D59" i="5" s="1"/>
  <c r="D60" i="5" s="1"/>
  <c r="D61" i="5" s="1"/>
  <c r="D62" i="5" s="1"/>
  <c r="D63" i="5" s="1"/>
  <c r="D64" i="5" s="1"/>
  <c r="D65" i="5" s="1"/>
  <c r="D66" i="5" s="1"/>
  <c r="D67" i="5"/>
  <c r="D68" i="5"/>
  <c r="D69" i="5"/>
  <c r="D70" i="5"/>
  <c r="D71" i="5"/>
  <c r="D7" i="5"/>
  <c r="C19" i="7"/>
  <c r="C18" i="7"/>
  <c r="C17" i="7"/>
  <c r="B7" i="7" l="1"/>
  <c r="B6" i="7"/>
  <c r="D10" i="4"/>
  <c r="C10" i="4"/>
  <c r="B8" i="7" l="1"/>
  <c r="B17" i="7" s="1"/>
  <c r="O4" i="6"/>
  <c r="F4" i="6"/>
  <c r="AD8" i="4"/>
  <c r="AE8" i="4"/>
  <c r="A8" i="4"/>
  <c r="AD9" i="4"/>
  <c r="AD10" i="4" s="1"/>
  <c r="AE9" i="4"/>
  <c r="G102" i="2"/>
  <c r="F102" i="2"/>
  <c r="G101" i="2"/>
  <c r="F101" i="2"/>
  <c r="G100" i="2"/>
  <c r="F100" i="2"/>
  <c r="G99" i="2"/>
  <c r="F99" i="2"/>
  <c r="G98" i="2"/>
  <c r="F98" i="2"/>
  <c r="G97" i="2"/>
  <c r="F97" i="2"/>
  <c r="G96" i="2"/>
  <c r="F96" i="2"/>
  <c r="G95" i="2"/>
  <c r="F95" i="2"/>
  <c r="G94" i="2"/>
  <c r="F94" i="2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F87" i="2"/>
  <c r="G86" i="2"/>
  <c r="F86" i="2"/>
  <c r="G85" i="2"/>
  <c r="F85" i="2"/>
  <c r="G84" i="2"/>
  <c r="F84" i="2"/>
  <c r="G83" i="2"/>
  <c r="F83" i="2"/>
  <c r="G82" i="2"/>
  <c r="F82" i="2"/>
  <c r="G81" i="2"/>
  <c r="F81" i="2"/>
  <c r="G80" i="2"/>
  <c r="F80" i="2"/>
  <c r="G79" i="2"/>
  <c r="F79" i="2"/>
  <c r="G78" i="2"/>
  <c r="F78" i="2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J6" i="6"/>
  <c r="A6" i="6"/>
  <c r="E97" i="3"/>
  <c r="D97" i="3"/>
  <c r="E96" i="3"/>
  <c r="D96" i="3"/>
  <c r="E95" i="3"/>
  <c r="D95" i="3"/>
  <c r="E94" i="3"/>
  <c r="D94" i="3"/>
  <c r="E93" i="3"/>
  <c r="D93" i="3"/>
  <c r="E92" i="3"/>
  <c r="D92" i="3"/>
  <c r="E91" i="3"/>
  <c r="D91" i="3"/>
  <c r="E90" i="3"/>
  <c r="D90" i="3"/>
  <c r="E89" i="3"/>
  <c r="D89" i="3"/>
  <c r="E88" i="3"/>
  <c r="D88" i="3"/>
  <c r="E87" i="3"/>
  <c r="D87" i="3"/>
  <c r="E86" i="3"/>
  <c r="D86" i="3"/>
  <c r="E85" i="3"/>
  <c r="D85" i="3"/>
  <c r="E84" i="3"/>
  <c r="D84" i="3"/>
  <c r="E83" i="3"/>
  <c r="D83" i="3"/>
  <c r="E82" i="3"/>
  <c r="D82" i="3"/>
  <c r="E81" i="3"/>
  <c r="D81" i="3"/>
  <c r="E80" i="3"/>
  <c r="D80" i="3"/>
  <c r="E79" i="3"/>
  <c r="D79" i="3"/>
  <c r="E78" i="3"/>
  <c r="D78" i="3"/>
  <c r="E77" i="3"/>
  <c r="D77" i="3"/>
  <c r="E76" i="3"/>
  <c r="D76" i="3"/>
  <c r="E75" i="3"/>
  <c r="D75" i="3"/>
  <c r="E74" i="3"/>
  <c r="D74" i="3"/>
  <c r="E73" i="3"/>
  <c r="D73" i="3"/>
  <c r="E72" i="3"/>
  <c r="D72" i="3"/>
  <c r="E71" i="3"/>
  <c r="D71" i="3"/>
  <c r="E70" i="3"/>
  <c r="D70" i="3"/>
  <c r="E69" i="3"/>
  <c r="D69" i="3"/>
  <c r="E68" i="3"/>
  <c r="D68" i="3"/>
  <c r="E67" i="3"/>
  <c r="D67" i="3"/>
  <c r="E66" i="3"/>
  <c r="D66" i="3"/>
  <c r="E65" i="3"/>
  <c r="D65" i="3"/>
  <c r="E64" i="3"/>
  <c r="D64" i="3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E52" i="3"/>
  <c r="D52" i="3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N6" i="6" s="1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J7" i="6"/>
  <c r="K7" i="6" s="1"/>
  <c r="M7" i="6" s="1"/>
  <c r="J8" i="6"/>
  <c r="P6" i="6"/>
  <c r="K6" i="6"/>
  <c r="N4" i="6"/>
  <c r="A7" i="6"/>
  <c r="A8" i="6"/>
  <c r="G6" i="6"/>
  <c r="B6" i="6"/>
  <c r="E4" i="6"/>
  <c r="K7" i="5"/>
  <c r="K8" i="5"/>
  <c r="K9" i="5"/>
  <c r="K10" i="5" s="1"/>
  <c r="K11" i="5"/>
  <c r="K12" i="5" s="1"/>
  <c r="K13" i="5" s="1"/>
  <c r="K14" i="5" s="1"/>
  <c r="K15" i="5" s="1"/>
  <c r="K16" i="5" s="1"/>
  <c r="K17" i="5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58" i="5" s="1"/>
  <c r="K59" i="5" s="1"/>
  <c r="K60" i="5" s="1"/>
  <c r="K61" i="5" s="1"/>
  <c r="K62" i="5" s="1"/>
  <c r="K63" i="5" s="1"/>
  <c r="K64" i="5" s="1"/>
  <c r="K65" i="5" s="1"/>
  <c r="K66" i="5" s="1"/>
  <c r="K67" i="5" s="1"/>
  <c r="K68" i="5" s="1"/>
  <c r="K69" i="5" s="1"/>
  <c r="K70" i="5" s="1"/>
  <c r="K71" i="5" s="1"/>
  <c r="A7" i="5"/>
  <c r="C7" i="5" s="1"/>
  <c r="A8" i="5"/>
  <c r="P6" i="5"/>
  <c r="H6" i="5"/>
  <c r="E4" i="5"/>
  <c r="D4" i="5"/>
  <c r="A9" i="4"/>
  <c r="A10" i="4" s="1"/>
  <c r="A11" i="4" s="1"/>
  <c r="B8" i="4"/>
  <c r="Y7" i="4"/>
  <c r="W7" i="4"/>
  <c r="U7" i="4"/>
  <c r="S7" i="4"/>
  <c r="AV7" i="4" s="1"/>
  <c r="Q7" i="4"/>
  <c r="O7" i="4"/>
  <c r="O9" i="4" s="1"/>
  <c r="M7" i="4"/>
  <c r="K7" i="4"/>
  <c r="AN7" i="4" s="1"/>
  <c r="I7" i="4"/>
  <c r="G7" i="4"/>
  <c r="E7" i="4"/>
  <c r="C7" i="4"/>
  <c r="Z6" i="4"/>
  <c r="BC6" i="4"/>
  <c r="X6" i="4"/>
  <c r="BA6" i="4" s="1"/>
  <c r="V6" i="4"/>
  <c r="AY6" i="4" s="1"/>
  <c r="T6" i="4"/>
  <c r="AW6" i="4"/>
  <c r="R6" i="4"/>
  <c r="AU6" i="4"/>
  <c r="P6" i="4"/>
  <c r="AS6" i="4" s="1"/>
  <c r="N6" i="4"/>
  <c r="AQ6" i="4" s="1"/>
  <c r="L6" i="4"/>
  <c r="AO6" i="4"/>
  <c r="J6" i="4"/>
  <c r="AM6" i="4"/>
  <c r="H6" i="4"/>
  <c r="AK6" i="4" s="1"/>
  <c r="F6" i="4"/>
  <c r="AI6" i="4" s="1"/>
  <c r="D6" i="4"/>
  <c r="AG6" i="4"/>
  <c r="Z5" i="4"/>
  <c r="BC5" i="4"/>
  <c r="X5" i="4"/>
  <c r="BA5" i="4" s="1"/>
  <c r="V5" i="4"/>
  <c r="AY5" i="4" s="1"/>
  <c r="T5" i="4"/>
  <c r="AW5" i="4"/>
  <c r="R5" i="4"/>
  <c r="AU5" i="4"/>
  <c r="P5" i="4"/>
  <c r="AS5" i="4" s="1"/>
  <c r="N5" i="4"/>
  <c r="AQ5" i="4" s="1"/>
  <c r="L5" i="4"/>
  <c r="AO5" i="4"/>
  <c r="J5" i="4"/>
  <c r="AM5" i="4"/>
  <c r="H5" i="4"/>
  <c r="AK5" i="4" s="1"/>
  <c r="F5" i="4"/>
  <c r="AI5" i="4" s="1"/>
  <c r="D5" i="4"/>
  <c r="AG5" i="4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AT9" i="4" s="1"/>
  <c r="AT10" i="4" s="1"/>
  <c r="D17" i="2"/>
  <c r="E16" i="2"/>
  <c r="D16" i="2"/>
  <c r="E15" i="2"/>
  <c r="D15" i="2"/>
  <c r="E14" i="2"/>
  <c r="D14" i="2"/>
  <c r="E13" i="2"/>
  <c r="D13" i="2"/>
  <c r="E12" i="2"/>
  <c r="AR9" i="4" s="1"/>
  <c r="AR10" i="4" s="1"/>
  <c r="D12" i="2"/>
  <c r="E11" i="2"/>
  <c r="D11" i="2"/>
  <c r="E10" i="2"/>
  <c r="D10" i="2"/>
  <c r="E9" i="2"/>
  <c r="D9" i="2"/>
  <c r="E8" i="2"/>
  <c r="D8" i="2"/>
  <c r="E7" i="2"/>
  <c r="D7" i="2"/>
  <c r="E6" i="2"/>
  <c r="D6" i="2"/>
  <c r="E5" i="2"/>
  <c r="D5" i="2"/>
  <c r="AR7" i="4"/>
  <c r="B9" i="4"/>
  <c r="AZ7" i="4"/>
  <c r="AZ9" i="4"/>
  <c r="W9" i="4"/>
  <c r="AL7" i="4"/>
  <c r="AL9" i="4" s="1"/>
  <c r="AL10" i="4" s="1"/>
  <c r="AT7" i="4"/>
  <c r="Q9" i="4"/>
  <c r="Q10" i="4"/>
  <c r="Q11" i="4" s="1"/>
  <c r="F6" i="6"/>
  <c r="E6" i="6"/>
  <c r="AH7" i="4"/>
  <c r="AH9" i="4"/>
  <c r="AH10" i="4" s="1"/>
  <c r="AP7" i="4"/>
  <c r="AP9" i="4"/>
  <c r="AP10" i="4" s="1"/>
  <c r="M9" i="4"/>
  <c r="M10" i="4" s="1"/>
  <c r="AN9" i="4"/>
  <c r="AV9" i="4"/>
  <c r="AV10" i="4" s="1"/>
  <c r="R8" i="4"/>
  <c r="AQ8" i="4"/>
  <c r="L8" i="4"/>
  <c r="F8" i="4"/>
  <c r="G7" i="5"/>
  <c r="G6" i="5"/>
  <c r="AF7" i="4"/>
  <c r="AF9" i="4" s="1"/>
  <c r="S9" i="4"/>
  <c r="S10" i="4" s="1"/>
  <c r="T8" i="4"/>
  <c r="M4" i="5"/>
  <c r="B7" i="6"/>
  <c r="D7" i="6" s="1"/>
  <c r="C6" i="5"/>
  <c r="B6" i="5"/>
  <c r="B7" i="5"/>
  <c r="F6" i="5"/>
  <c r="L4" i="5"/>
  <c r="B8" i="5"/>
  <c r="O6" i="6"/>
  <c r="H6" i="6"/>
  <c r="L7" i="6"/>
  <c r="P9" i="4"/>
  <c r="N9" i="4"/>
  <c r="X9" i="4"/>
  <c r="O6" i="5"/>
  <c r="AA9" i="4"/>
  <c r="BD9" i="4" s="1"/>
  <c r="N6" i="5"/>
  <c r="N7" i="5"/>
  <c r="O7" i="6"/>
  <c r="P7" i="5"/>
  <c r="F7" i="6"/>
  <c r="S11" i="4"/>
  <c r="A9" i="6" l="1"/>
  <c r="B8" i="6"/>
  <c r="AE10" i="4"/>
  <c r="AD11" i="4"/>
  <c r="AF10" i="4"/>
  <c r="AF11" i="4" s="1"/>
  <c r="AF12" i="4" s="1"/>
  <c r="AG9" i="4"/>
  <c r="AN10" i="4"/>
  <c r="AO9" i="4"/>
  <c r="P7" i="6"/>
  <c r="N7" i="6"/>
  <c r="Q7" i="6" s="1"/>
  <c r="AX7" i="4"/>
  <c r="U9" i="4"/>
  <c r="V8" i="4"/>
  <c r="Q6" i="6"/>
  <c r="G9" i="4"/>
  <c r="G10" i="4" s="1"/>
  <c r="G11" i="4" s="1"/>
  <c r="AJ7" i="4"/>
  <c r="A9" i="5"/>
  <c r="C8" i="5"/>
  <c r="O8" i="5"/>
  <c r="G8" i="5"/>
  <c r="F8" i="5"/>
  <c r="H8" i="4"/>
  <c r="I6" i="5"/>
  <c r="AZ10" i="4"/>
  <c r="Q6" i="5"/>
  <c r="H7" i="5"/>
  <c r="B10" i="4"/>
  <c r="AT11" i="4" s="1"/>
  <c r="AT12" i="4" s="1"/>
  <c r="BB7" i="4"/>
  <c r="BB9" i="4" s="1"/>
  <c r="Y9" i="4"/>
  <c r="Y10" i="4" s="1"/>
  <c r="Y11" i="4" s="1"/>
  <c r="Y12" i="4" s="1"/>
  <c r="N8" i="5"/>
  <c r="AH11" i="4"/>
  <c r="AH12" i="4" s="1"/>
  <c r="AU8" i="4"/>
  <c r="AM9" i="4"/>
  <c r="AW9" i="4"/>
  <c r="T9" i="4"/>
  <c r="AS9" i="4"/>
  <c r="AU9" i="4"/>
  <c r="H9" i="4"/>
  <c r="AQ9" i="4"/>
  <c r="AI9" i="4"/>
  <c r="R9" i="4"/>
  <c r="BA9" i="4"/>
  <c r="A12" i="4"/>
  <c r="Q12" i="4" s="1"/>
  <c r="B11" i="4"/>
  <c r="P8" i="4"/>
  <c r="K9" i="4"/>
  <c r="K10" i="4" s="1"/>
  <c r="K11" i="4" s="1"/>
  <c r="K12" i="4" s="1"/>
  <c r="O10" i="4"/>
  <c r="O11" i="4" s="1"/>
  <c r="O12" i="4" s="1"/>
  <c r="K8" i="6"/>
  <c r="J9" i="6"/>
  <c r="W10" i="4"/>
  <c r="W11" i="4" s="1"/>
  <c r="W12" i="4" s="1"/>
  <c r="D8" i="4"/>
  <c r="X8" i="4"/>
  <c r="E9" i="4"/>
  <c r="E10" i="4" s="1"/>
  <c r="E11" i="4" s="1"/>
  <c r="E12" i="4" s="1"/>
  <c r="C9" i="4"/>
  <c r="AG8" i="4"/>
  <c r="C7" i="6"/>
  <c r="G7" i="6" s="1"/>
  <c r="AA8" i="4"/>
  <c r="BD8" i="4" s="1"/>
  <c r="N8" i="4"/>
  <c r="J8" i="4"/>
  <c r="AO8" i="4"/>
  <c r="I9" i="4"/>
  <c r="AS8" i="4"/>
  <c r="AW8" i="4"/>
  <c r="Z8" i="4"/>
  <c r="BA8" i="4"/>
  <c r="O7" i="5"/>
  <c r="Q7" i="5" s="1"/>
  <c r="AM8" i="4"/>
  <c r="F7" i="5"/>
  <c r="I7" i="5" s="1"/>
  <c r="AI8" i="4"/>
  <c r="J10" i="6" l="1"/>
  <c r="K9" i="6"/>
  <c r="Z9" i="4"/>
  <c r="AL11" i="4"/>
  <c r="AL12" i="4" s="1"/>
  <c r="AN11" i="4"/>
  <c r="AN12" i="4" s="1"/>
  <c r="E17" i="7"/>
  <c r="F17" i="7" s="1"/>
  <c r="G17" i="7" s="1"/>
  <c r="AG10" i="4"/>
  <c r="AU10" i="4"/>
  <c r="AO10" i="4"/>
  <c r="L10" i="4"/>
  <c r="T10" i="4"/>
  <c r="X10" i="4"/>
  <c r="AI10" i="4"/>
  <c r="N10" i="4"/>
  <c r="R10" i="4"/>
  <c r="AW10" i="4"/>
  <c r="F10" i="4"/>
  <c r="AQ10" i="4"/>
  <c r="AM10" i="4"/>
  <c r="AA10" i="4"/>
  <c r="BD10" i="4" s="1"/>
  <c r="P10" i="4"/>
  <c r="H10" i="4"/>
  <c r="BA10" i="4"/>
  <c r="AS10" i="4"/>
  <c r="Z10" i="4"/>
  <c r="AP11" i="4"/>
  <c r="AP12" i="4" s="1"/>
  <c r="AV11" i="4"/>
  <c r="AV12" i="4" s="1"/>
  <c r="M8" i="6"/>
  <c r="L8" i="6"/>
  <c r="N8" i="6" s="1"/>
  <c r="F9" i="4"/>
  <c r="H8" i="5"/>
  <c r="I8" i="5" s="1"/>
  <c r="P8" i="5"/>
  <c r="Q8" i="5" s="1"/>
  <c r="U10" i="4"/>
  <c r="U11" i="4" s="1"/>
  <c r="U12" i="4" s="1"/>
  <c r="V9" i="4"/>
  <c r="AE11" i="4"/>
  <c r="AD12" i="4"/>
  <c r="BB10" i="4"/>
  <c r="BB11" i="4" s="1"/>
  <c r="BB12" i="4" s="1"/>
  <c r="BC9" i="4"/>
  <c r="C11" i="4"/>
  <c r="C12" i="4" s="1"/>
  <c r="D9" i="4"/>
  <c r="AB9" i="4" s="1"/>
  <c r="I10" i="4"/>
  <c r="I11" i="4" s="1"/>
  <c r="I12" i="4" s="1"/>
  <c r="J9" i="4"/>
  <c r="BC8" i="4"/>
  <c r="L9" i="4"/>
  <c r="B9" i="5"/>
  <c r="C9" i="5"/>
  <c r="F9" i="5"/>
  <c r="A10" i="5"/>
  <c r="N9" i="5"/>
  <c r="AX9" i="4"/>
  <c r="AY8" i="4"/>
  <c r="M11" i="4"/>
  <c r="M12" i="4" s="1"/>
  <c r="M13" i="4" s="1"/>
  <c r="AB8" i="4"/>
  <c r="V11" i="4"/>
  <c r="P11" i="4"/>
  <c r="AA11" i="4"/>
  <c r="BD11" i="4" s="1"/>
  <c r="AQ11" i="4"/>
  <c r="Z11" i="4"/>
  <c r="BC11" i="4"/>
  <c r="R11" i="4"/>
  <c r="AM11" i="4"/>
  <c r="AG11" i="4"/>
  <c r="AU11" i="4"/>
  <c r="L11" i="4"/>
  <c r="F11" i="4"/>
  <c r="H11" i="4"/>
  <c r="T11" i="4"/>
  <c r="BA11" i="4"/>
  <c r="AI11" i="4"/>
  <c r="X11" i="4"/>
  <c r="AZ11" i="4"/>
  <c r="AZ12" i="4" s="1"/>
  <c r="AJ9" i="4"/>
  <c r="AK8" i="4"/>
  <c r="BE8" i="4" s="1"/>
  <c r="F8" i="6"/>
  <c r="O8" i="6"/>
  <c r="C8" i="6"/>
  <c r="G8" i="6" s="1"/>
  <c r="D8" i="6"/>
  <c r="E7" i="6"/>
  <c r="H7" i="6" s="1"/>
  <c r="A13" i="4"/>
  <c r="B12" i="4"/>
  <c r="S12" i="4"/>
  <c r="S13" i="4" s="1"/>
  <c r="G12" i="4"/>
  <c r="AR11" i="4"/>
  <c r="AR12" i="4" s="1"/>
  <c r="A10" i="6"/>
  <c r="B9" i="6"/>
  <c r="D11" i="4" l="1"/>
  <c r="C13" i="4"/>
  <c r="C14" i="4" s="1"/>
  <c r="U13" i="4"/>
  <c r="AV13" i="4"/>
  <c r="V10" i="4"/>
  <c r="AL13" i="4"/>
  <c r="AN13" i="4"/>
  <c r="D9" i="6"/>
  <c r="F9" i="6"/>
  <c r="C9" i="6"/>
  <c r="E9" i="6" s="1"/>
  <c r="B13" i="4"/>
  <c r="M14" i="4" s="1"/>
  <c r="A14" i="4"/>
  <c r="A11" i="6"/>
  <c r="B10" i="6"/>
  <c r="W13" i="4"/>
  <c r="W14" i="4" s="1"/>
  <c r="N11" i="4"/>
  <c r="AP13" i="4"/>
  <c r="AP14" i="4" s="1"/>
  <c r="J10" i="4"/>
  <c r="AO12" i="4"/>
  <c r="F12" i="4"/>
  <c r="H12" i="4"/>
  <c r="BA12" i="4"/>
  <c r="BC12" i="4"/>
  <c r="D12" i="4"/>
  <c r="AW12" i="4"/>
  <c r="AI12" i="4"/>
  <c r="P12" i="4"/>
  <c r="AU12" i="4"/>
  <c r="AS12" i="4"/>
  <c r="X12" i="4"/>
  <c r="AG12" i="4"/>
  <c r="R12" i="4"/>
  <c r="T12" i="4"/>
  <c r="AM12" i="4"/>
  <c r="L12" i="4"/>
  <c r="AQ12" i="4"/>
  <c r="Z12" i="4"/>
  <c r="V12" i="4"/>
  <c r="N12" i="4"/>
  <c r="AA12" i="4"/>
  <c r="BD12" i="4" s="1"/>
  <c r="J12" i="4"/>
  <c r="AB10" i="4"/>
  <c r="AJ10" i="4"/>
  <c r="AK9" i="4"/>
  <c r="BE9" i="4" s="1"/>
  <c r="BB13" i="4"/>
  <c r="BB14" i="4" s="1"/>
  <c r="G13" i="4"/>
  <c r="G14" i="4" s="1"/>
  <c r="E8" i="6"/>
  <c r="H8" i="6" s="1"/>
  <c r="AZ13" i="4"/>
  <c r="AZ14" i="4" s="1"/>
  <c r="AS11" i="4"/>
  <c r="AW11" i="4"/>
  <c r="O13" i="4"/>
  <c r="O14" i="4" s="1"/>
  <c r="K13" i="4"/>
  <c r="K14" i="4" s="1"/>
  <c r="M9" i="6"/>
  <c r="O9" i="6" s="1"/>
  <c r="L9" i="6"/>
  <c r="AR13" i="4"/>
  <c r="AR14" i="4" s="1"/>
  <c r="AO11" i="4"/>
  <c r="A11" i="5"/>
  <c r="F10" i="5"/>
  <c r="N10" i="5"/>
  <c r="B10" i="5"/>
  <c r="C10" i="5"/>
  <c r="K10" i="6"/>
  <c r="J11" i="6"/>
  <c r="AB11" i="4"/>
  <c r="AX10" i="4"/>
  <c r="AY9" i="4"/>
  <c r="Y13" i="4"/>
  <c r="Y14" i="4" s="1"/>
  <c r="E13" i="4"/>
  <c r="E14" i="4" s="1"/>
  <c r="AH13" i="4"/>
  <c r="AH14" i="4" s="1"/>
  <c r="J11" i="4"/>
  <c r="AE12" i="4"/>
  <c r="AD13" i="4"/>
  <c r="AF13" i="4"/>
  <c r="AF14" i="4" s="1"/>
  <c r="BC10" i="4"/>
  <c r="AT13" i="4"/>
  <c r="AT14" i="4" s="1"/>
  <c r="G9" i="5"/>
  <c r="O9" i="5"/>
  <c r="S14" i="4"/>
  <c r="I13" i="4"/>
  <c r="I14" i="4" s="1"/>
  <c r="P8" i="6"/>
  <c r="Q8" i="6" s="1"/>
  <c r="Q13" i="4"/>
  <c r="Q14" i="4" s="1"/>
  <c r="H9" i="5" l="1"/>
  <c r="I9" i="5" s="1"/>
  <c r="BB15" i="4"/>
  <c r="K11" i="6"/>
  <c r="J12" i="6"/>
  <c r="A12" i="5"/>
  <c r="B11" i="5"/>
  <c r="C11" i="5"/>
  <c r="AJ11" i="4"/>
  <c r="AK10" i="4"/>
  <c r="B11" i="6"/>
  <c r="A12" i="6"/>
  <c r="P9" i="5"/>
  <c r="Q9" i="5" s="1"/>
  <c r="W15" i="4"/>
  <c r="AH15" i="4"/>
  <c r="L10" i="6"/>
  <c r="P10" i="6" s="1"/>
  <c r="M10" i="6"/>
  <c r="B14" i="4"/>
  <c r="A15" i="4"/>
  <c r="AN14" i="4"/>
  <c r="AN15" i="4" s="1"/>
  <c r="Q15" i="4"/>
  <c r="E15" i="4"/>
  <c r="AR15" i="4"/>
  <c r="AW13" i="4"/>
  <c r="Z13" i="4"/>
  <c r="L13" i="4"/>
  <c r="V13" i="4"/>
  <c r="AQ13" i="4"/>
  <c r="J13" i="4"/>
  <c r="P13" i="4"/>
  <c r="X13" i="4"/>
  <c r="AO13" i="4"/>
  <c r="AM13" i="4"/>
  <c r="R13" i="4"/>
  <c r="T13" i="4"/>
  <c r="AA13" i="4"/>
  <c r="BD13" i="4" s="1"/>
  <c r="AU13" i="4"/>
  <c r="D13" i="4"/>
  <c r="H13" i="4"/>
  <c r="BC13" i="4"/>
  <c r="BA13" i="4"/>
  <c r="AI13" i="4"/>
  <c r="N13" i="4"/>
  <c r="F13" i="4"/>
  <c r="AS13" i="4"/>
  <c r="AG13" i="4"/>
  <c r="AL14" i="4"/>
  <c r="AL15" i="4" s="1"/>
  <c r="C15" i="4"/>
  <c r="AT15" i="4"/>
  <c r="Y15" i="4"/>
  <c r="O10" i="5"/>
  <c r="G10" i="5"/>
  <c r="P9" i="6"/>
  <c r="S15" i="4"/>
  <c r="O10" i="6"/>
  <c r="D10" i="6"/>
  <c r="F10" i="6"/>
  <c r="C10" i="6"/>
  <c r="G10" i="6" s="1"/>
  <c r="AF15" i="4"/>
  <c r="G15" i="4"/>
  <c r="AB12" i="4"/>
  <c r="AP15" i="4"/>
  <c r="G9" i="6"/>
  <c r="H9" i="6" s="1"/>
  <c r="AV14" i="4"/>
  <c r="AV15" i="4" s="1"/>
  <c r="O15" i="4"/>
  <c r="I15" i="4"/>
  <c r="AE13" i="4"/>
  <c r="AD14" i="4"/>
  <c r="AX11" i="4"/>
  <c r="AY10" i="4"/>
  <c r="K15" i="4"/>
  <c r="N9" i="6"/>
  <c r="Q9" i="6" s="1"/>
  <c r="U14" i="4"/>
  <c r="U15" i="4" s="1"/>
  <c r="L11" i="6" l="1"/>
  <c r="N11" i="6" s="1"/>
  <c r="M11" i="6"/>
  <c r="AH16" i="4"/>
  <c r="AX12" i="4"/>
  <c r="AY11" i="4"/>
  <c r="W16" i="4"/>
  <c r="O11" i="5"/>
  <c r="G11" i="5"/>
  <c r="E16" i="4"/>
  <c r="AD15" i="4"/>
  <c r="AE14" i="4"/>
  <c r="AP16" i="4"/>
  <c r="AN16" i="4"/>
  <c r="A13" i="6"/>
  <c r="B12" i="6"/>
  <c r="I16" i="4"/>
  <c r="H10" i="5"/>
  <c r="I10" i="5" s="1"/>
  <c r="E10" i="6"/>
  <c r="H10" i="6" s="1"/>
  <c r="AL16" i="4"/>
  <c r="A16" i="4"/>
  <c r="Y16" i="4" s="1"/>
  <c r="B15" i="4"/>
  <c r="AT16" i="4" s="1"/>
  <c r="D11" i="6"/>
  <c r="F11" i="6" s="1"/>
  <c r="C11" i="6"/>
  <c r="G11" i="6" s="1"/>
  <c r="O11" i="6"/>
  <c r="O16" i="4"/>
  <c r="P10" i="5"/>
  <c r="Q10" i="5" s="1"/>
  <c r="AS14" i="4"/>
  <c r="N14" i="4"/>
  <c r="R14" i="4"/>
  <c r="AO14" i="4"/>
  <c r="F14" i="4"/>
  <c r="H14" i="4"/>
  <c r="P14" i="4"/>
  <c r="AQ14" i="4"/>
  <c r="J14" i="4"/>
  <c r="D14" i="4"/>
  <c r="BC14" i="4"/>
  <c r="AG14" i="4"/>
  <c r="BA14" i="4"/>
  <c r="AU14" i="4"/>
  <c r="Z14" i="4"/>
  <c r="V14" i="4"/>
  <c r="AA14" i="4"/>
  <c r="BD14" i="4" s="1"/>
  <c r="AI14" i="4"/>
  <c r="X14" i="4"/>
  <c r="L14" i="4"/>
  <c r="T14" i="4"/>
  <c r="AM14" i="4"/>
  <c r="AW14" i="4"/>
  <c r="BE10" i="4"/>
  <c r="B12" i="5"/>
  <c r="C12" i="5"/>
  <c r="A13" i="5"/>
  <c r="M15" i="4"/>
  <c r="M16" i="4" s="1"/>
  <c r="N10" i="6"/>
  <c r="Q10" i="6" s="1"/>
  <c r="G16" i="4"/>
  <c r="AV16" i="4"/>
  <c r="AF16" i="4"/>
  <c r="AB13" i="4"/>
  <c r="AZ15" i="4"/>
  <c r="AZ16" i="4" s="1"/>
  <c r="AJ12" i="4"/>
  <c r="AK11" i="4"/>
  <c r="BE11" i="4" s="1"/>
  <c r="J13" i="6"/>
  <c r="K12" i="6"/>
  <c r="AJ13" i="4" l="1"/>
  <c r="AK12" i="4"/>
  <c r="AR16" i="4"/>
  <c r="B13" i="5"/>
  <c r="A14" i="5"/>
  <c r="C13" i="5"/>
  <c r="S16" i="4"/>
  <c r="U16" i="4"/>
  <c r="Q16" i="4"/>
  <c r="G12" i="5"/>
  <c r="O12" i="5"/>
  <c r="A14" i="6"/>
  <c r="B13" i="6"/>
  <c r="E11" i="6"/>
  <c r="H11" i="6" s="1"/>
  <c r="P11" i="5"/>
  <c r="N11" i="5"/>
  <c r="AB14" i="4"/>
  <c r="H11" i="5"/>
  <c r="F11" i="5"/>
  <c r="AD16" i="4"/>
  <c r="AE15" i="4"/>
  <c r="P11" i="6"/>
  <c r="Q11" i="6" s="1"/>
  <c r="L12" i="6"/>
  <c r="P12" i="6" s="1"/>
  <c r="M12" i="6"/>
  <c r="BA15" i="4"/>
  <c r="AM15" i="4"/>
  <c r="AI15" i="4"/>
  <c r="AQ15" i="4"/>
  <c r="AO15" i="4"/>
  <c r="AW15" i="4"/>
  <c r="X15" i="4"/>
  <c r="T15" i="4"/>
  <c r="Z15" i="4"/>
  <c r="R15" i="4"/>
  <c r="V15" i="4"/>
  <c r="L15" i="4"/>
  <c r="AS15" i="4"/>
  <c r="N15" i="4"/>
  <c r="H15" i="4"/>
  <c r="AA15" i="4"/>
  <c r="BD15" i="4" s="1"/>
  <c r="P15" i="4"/>
  <c r="AG15" i="4"/>
  <c r="J15" i="4"/>
  <c r="F15" i="4"/>
  <c r="BC15" i="4"/>
  <c r="D15" i="4"/>
  <c r="AU15" i="4"/>
  <c r="K13" i="6"/>
  <c r="J14" i="6"/>
  <c r="K16" i="4"/>
  <c r="C16" i="4"/>
  <c r="A17" i="4"/>
  <c r="B16" i="4"/>
  <c r="AZ17" i="4" s="1"/>
  <c r="C12" i="6"/>
  <c r="E12" i="6"/>
  <c r="D12" i="6"/>
  <c r="F12" i="6"/>
  <c r="O12" i="6"/>
  <c r="BB16" i="4"/>
  <c r="AX13" i="4"/>
  <c r="AY12" i="4"/>
  <c r="Q11" i="5" l="1"/>
  <c r="I11" i="5"/>
  <c r="A15" i="5"/>
  <c r="C14" i="5"/>
  <c r="B14" i="5"/>
  <c r="AN17" i="4"/>
  <c r="N12" i="6"/>
  <c r="Q12" i="6" s="1"/>
  <c r="C17" i="4"/>
  <c r="C18" i="4" s="1"/>
  <c r="M17" i="4"/>
  <c r="M18" i="4" s="1"/>
  <c r="AF17" i="4"/>
  <c r="AF18" i="4" s="1"/>
  <c r="G17" i="4"/>
  <c r="G18" i="4" s="1"/>
  <c r="BE12" i="4"/>
  <c r="A18" i="4"/>
  <c r="B17" i="4"/>
  <c r="K17" i="4"/>
  <c r="K18" i="4" s="1"/>
  <c r="P12" i="5"/>
  <c r="N12" i="5"/>
  <c r="O17" i="4"/>
  <c r="K14" i="6"/>
  <c r="J15" i="6"/>
  <c r="H12" i="5"/>
  <c r="F12" i="5"/>
  <c r="AV17" i="4"/>
  <c r="AV18" i="4" s="1"/>
  <c r="U17" i="4"/>
  <c r="AO16" i="4"/>
  <c r="F16" i="4"/>
  <c r="H16" i="4"/>
  <c r="AW16" i="4"/>
  <c r="BA16" i="4"/>
  <c r="AU16" i="4"/>
  <c r="AM16" i="4"/>
  <c r="AI16" i="4"/>
  <c r="T16" i="4"/>
  <c r="AA16" i="4"/>
  <c r="BD16" i="4" s="1"/>
  <c r="Z16" i="4"/>
  <c r="X16" i="4"/>
  <c r="V16" i="4"/>
  <c r="N16" i="4"/>
  <c r="J16" i="4"/>
  <c r="AQ16" i="4"/>
  <c r="BC16" i="4"/>
  <c r="P16" i="4"/>
  <c r="AG16" i="4"/>
  <c r="R16" i="4"/>
  <c r="L16" i="4"/>
  <c r="D16" i="4"/>
  <c r="AS16" i="4"/>
  <c r="AD17" i="4"/>
  <c r="AE16" i="4"/>
  <c r="L13" i="6"/>
  <c r="M13" i="6"/>
  <c r="O13" i="6" s="1"/>
  <c r="AH17" i="4"/>
  <c r="AH18" i="4" s="1"/>
  <c r="AP17" i="4"/>
  <c r="AP18" i="4" s="1"/>
  <c r="C13" i="6"/>
  <c r="D13" i="6"/>
  <c r="F13" i="6"/>
  <c r="S17" i="4"/>
  <c r="AR17" i="4"/>
  <c r="AR18" i="4" s="1"/>
  <c r="Y17" i="4"/>
  <c r="BB17" i="4"/>
  <c r="BB18" i="4" s="1"/>
  <c r="Q17" i="4"/>
  <c r="Q18" i="4" s="1"/>
  <c r="B14" i="6"/>
  <c r="A15" i="6"/>
  <c r="W17" i="4"/>
  <c r="AT17" i="4"/>
  <c r="AT18" i="4" s="1"/>
  <c r="AX14" i="4"/>
  <c r="AY13" i="4"/>
  <c r="AJ14" i="4"/>
  <c r="AK13" i="4"/>
  <c r="G12" i="6"/>
  <c r="H12" i="6" s="1"/>
  <c r="AB15" i="4"/>
  <c r="E17" i="4"/>
  <c r="E18" i="4" s="1"/>
  <c r="AL17" i="4"/>
  <c r="AL18" i="4" s="1"/>
  <c r="G13" i="5"/>
  <c r="O13" i="5"/>
  <c r="I17" i="4"/>
  <c r="I18" i="4" s="1"/>
  <c r="I12" i="5" l="1"/>
  <c r="B18" i="4"/>
  <c r="A19" i="4"/>
  <c r="K15" i="6"/>
  <c r="J16" i="6"/>
  <c r="AB16" i="4"/>
  <c r="G19" i="4"/>
  <c r="AL19" i="4"/>
  <c r="AR19" i="4"/>
  <c r="AP19" i="4"/>
  <c r="H13" i="5"/>
  <c r="F13" i="5"/>
  <c r="O18" i="4"/>
  <c r="AF19" i="4"/>
  <c r="AJ15" i="4"/>
  <c r="AK14" i="4"/>
  <c r="G13" i="6"/>
  <c r="W18" i="4"/>
  <c r="W19" i="4" s="1"/>
  <c r="S18" i="4"/>
  <c r="AH19" i="4"/>
  <c r="U18" i="4"/>
  <c r="Q12" i="5"/>
  <c r="M19" i="4"/>
  <c r="Q19" i="4"/>
  <c r="AE17" i="4"/>
  <c r="AD18" i="4"/>
  <c r="Y18" i="4"/>
  <c r="Y19" i="4" s="1"/>
  <c r="P13" i="5"/>
  <c r="N13" i="5"/>
  <c r="M14" i="6"/>
  <c r="L14" i="6"/>
  <c r="P14" i="6" s="1"/>
  <c r="A16" i="6"/>
  <c r="B15" i="6"/>
  <c r="E13" i="6"/>
  <c r="H13" i="6" s="1"/>
  <c r="C19" i="4"/>
  <c r="C14" i="6"/>
  <c r="G14" i="6" s="1"/>
  <c r="E14" i="6"/>
  <c r="H14" i="6" s="1"/>
  <c r="D14" i="6"/>
  <c r="F14" i="6"/>
  <c r="N14" i="6"/>
  <c r="Q14" i="6" s="1"/>
  <c r="O14" i="6"/>
  <c r="K19" i="4"/>
  <c r="A16" i="5"/>
  <c r="B15" i="5"/>
  <c r="C15" i="5"/>
  <c r="BB19" i="4"/>
  <c r="AX15" i="4"/>
  <c r="AY14" i="4"/>
  <c r="E19" i="4"/>
  <c r="AV19" i="4"/>
  <c r="G14" i="5"/>
  <c r="O14" i="5"/>
  <c r="P13" i="6"/>
  <c r="BE13" i="4"/>
  <c r="N13" i="6"/>
  <c r="Q13" i="6" s="1"/>
  <c r="AW17" i="4"/>
  <c r="BC17" i="4"/>
  <c r="AQ17" i="4"/>
  <c r="V17" i="4"/>
  <c r="R17" i="4"/>
  <c r="D17" i="4"/>
  <c r="N17" i="4"/>
  <c r="L17" i="4"/>
  <c r="AA17" i="4"/>
  <c r="BD17" i="4" s="1"/>
  <c r="P17" i="4"/>
  <c r="J17" i="4"/>
  <c r="H17" i="4"/>
  <c r="T17" i="4"/>
  <c r="F17" i="4"/>
  <c r="AM17" i="4"/>
  <c r="AS17" i="4"/>
  <c r="AU17" i="4"/>
  <c r="AG17" i="4"/>
  <c r="X17" i="4"/>
  <c r="Z17" i="4"/>
  <c r="BA17" i="4"/>
  <c r="AO17" i="4"/>
  <c r="AI17" i="4"/>
  <c r="AN18" i="4"/>
  <c r="AN19" i="4" s="1"/>
  <c r="AZ18" i="4"/>
  <c r="AZ19" i="4" s="1"/>
  <c r="Q13" i="5" l="1"/>
  <c r="I13" i="5"/>
  <c r="AJ16" i="4"/>
  <c r="AK15" i="4"/>
  <c r="AB17" i="4"/>
  <c r="AX16" i="4"/>
  <c r="AY15" i="4"/>
  <c r="A17" i="5"/>
  <c r="C16" i="5"/>
  <c r="B16" i="5"/>
  <c r="U19" i="4"/>
  <c r="AD19" i="4"/>
  <c r="AE18" i="4"/>
  <c r="AH20" i="4"/>
  <c r="J17" i="6"/>
  <c r="K16" i="6"/>
  <c r="Y20" i="4"/>
  <c r="O19" i="4"/>
  <c r="N15" i="6"/>
  <c r="D15" i="6"/>
  <c r="F15" i="6" s="1"/>
  <c r="C15" i="6"/>
  <c r="E15" i="6" s="1"/>
  <c r="S19" i="4"/>
  <c r="S20" i="4" s="1"/>
  <c r="L15" i="6"/>
  <c r="M15" i="6"/>
  <c r="O15" i="6" s="1"/>
  <c r="O15" i="5"/>
  <c r="G15" i="5"/>
  <c r="B16" i="6"/>
  <c r="A17" i="6"/>
  <c r="P14" i="5"/>
  <c r="N14" i="5"/>
  <c r="AO18" i="4"/>
  <c r="F18" i="4"/>
  <c r="H18" i="4"/>
  <c r="AQ18" i="4"/>
  <c r="Z18" i="4"/>
  <c r="X18" i="4"/>
  <c r="AG18" i="4"/>
  <c r="V18" i="4"/>
  <c r="R18" i="4"/>
  <c r="AA18" i="4"/>
  <c r="BD18" i="4" s="1"/>
  <c r="D18" i="4"/>
  <c r="N18" i="4"/>
  <c r="L18" i="4"/>
  <c r="J18" i="4"/>
  <c r="BC18" i="4"/>
  <c r="AS18" i="4"/>
  <c r="AU18" i="4"/>
  <c r="P18" i="4"/>
  <c r="AI18" i="4"/>
  <c r="AM18" i="4"/>
  <c r="BA18" i="4"/>
  <c r="AW18" i="4"/>
  <c r="T18" i="4"/>
  <c r="B19" i="4"/>
  <c r="M20" i="4" s="1"/>
  <c r="A20" i="4"/>
  <c r="AN20" i="4"/>
  <c r="AV20" i="4"/>
  <c r="H14" i="5"/>
  <c r="F14" i="5"/>
  <c r="BE14" i="4"/>
  <c r="AT19" i="4"/>
  <c r="I19" i="4"/>
  <c r="I20" i="4" s="1"/>
  <c r="Q14" i="5" l="1"/>
  <c r="I14" i="5"/>
  <c r="Q15" i="6"/>
  <c r="G20" i="4"/>
  <c r="B20" i="4"/>
  <c r="A21" i="4"/>
  <c r="AZ20" i="4"/>
  <c r="P15" i="6"/>
  <c r="O20" i="4"/>
  <c r="O21" i="4" s="1"/>
  <c r="AD20" i="4"/>
  <c r="AE19" i="4"/>
  <c r="P15" i="5"/>
  <c r="N15" i="5"/>
  <c r="S21" i="4"/>
  <c r="K20" i="4"/>
  <c r="AT20" i="4"/>
  <c r="AB18" i="4"/>
  <c r="Q20" i="4"/>
  <c r="Q21" i="4" s="1"/>
  <c r="G16" i="5"/>
  <c r="O16" i="5"/>
  <c r="A18" i="6"/>
  <c r="B17" i="6"/>
  <c r="U20" i="4"/>
  <c r="U21" i="4" s="1"/>
  <c r="C17" i="5"/>
  <c r="B17" i="5"/>
  <c r="A18" i="5"/>
  <c r="BE15" i="4"/>
  <c r="D19" i="4"/>
  <c r="J19" i="4"/>
  <c r="L19" i="4"/>
  <c r="AA19" i="4"/>
  <c r="BD19" i="4" s="1"/>
  <c r="AG19" i="4"/>
  <c r="F19" i="4"/>
  <c r="H19" i="4"/>
  <c r="BA19" i="4"/>
  <c r="AM19" i="4"/>
  <c r="AI19" i="4"/>
  <c r="AS19" i="4"/>
  <c r="P19" i="4"/>
  <c r="AU19" i="4"/>
  <c r="AW19" i="4"/>
  <c r="X19" i="4"/>
  <c r="AO19" i="4"/>
  <c r="R19" i="4"/>
  <c r="Z19" i="4"/>
  <c r="T19" i="4"/>
  <c r="AQ19" i="4"/>
  <c r="BC19" i="4"/>
  <c r="V19" i="4"/>
  <c r="N19" i="4"/>
  <c r="AP20" i="4"/>
  <c r="H15" i="5"/>
  <c r="F15" i="5"/>
  <c r="BB20" i="4"/>
  <c r="D16" i="6"/>
  <c r="F16" i="6" s="1"/>
  <c r="C16" i="6"/>
  <c r="E16" i="6" s="1"/>
  <c r="O16" i="6"/>
  <c r="L16" i="6"/>
  <c r="P16" i="6" s="1"/>
  <c r="M16" i="6"/>
  <c r="C20" i="4"/>
  <c r="AJ17" i="4"/>
  <c r="AK16" i="4"/>
  <c r="Y21" i="4"/>
  <c r="W20" i="4"/>
  <c r="W21" i="4" s="1"/>
  <c r="G15" i="6"/>
  <c r="H15" i="6" s="1"/>
  <c r="AF20" i="4"/>
  <c r="AL20" i="4"/>
  <c r="AR20" i="4"/>
  <c r="K17" i="6"/>
  <c r="J18" i="6"/>
  <c r="AX17" i="4"/>
  <c r="AY16" i="4"/>
  <c r="E20" i="4"/>
  <c r="Q15" i="5" l="1"/>
  <c r="I15" i="5"/>
  <c r="BA20" i="4"/>
  <c r="X20" i="4"/>
  <c r="AM20" i="4"/>
  <c r="R20" i="4"/>
  <c r="AQ20" i="4"/>
  <c r="Z20" i="4"/>
  <c r="H20" i="4"/>
  <c r="AO20" i="4"/>
  <c r="F20" i="4"/>
  <c r="V20" i="4"/>
  <c r="AI20" i="4"/>
  <c r="J20" i="4"/>
  <c r="L20" i="4"/>
  <c r="P20" i="4"/>
  <c r="AG20" i="4"/>
  <c r="N20" i="4"/>
  <c r="BC20" i="4"/>
  <c r="AU20" i="4"/>
  <c r="AW20" i="4"/>
  <c r="AA20" i="4"/>
  <c r="BD20" i="4" s="1"/>
  <c r="D20" i="4"/>
  <c r="T20" i="4"/>
  <c r="AS20" i="4"/>
  <c r="E21" i="4"/>
  <c r="AF21" i="4"/>
  <c r="BB21" i="4"/>
  <c r="A19" i="5"/>
  <c r="C18" i="5"/>
  <c r="B18" i="5"/>
  <c r="D17" i="6"/>
  <c r="F17" i="6"/>
  <c r="C17" i="6"/>
  <c r="G17" i="6" s="1"/>
  <c r="B21" i="4"/>
  <c r="A22" i="4"/>
  <c r="Y22" i="4" s="1"/>
  <c r="W22" i="4"/>
  <c r="AP21" i="4"/>
  <c r="AX18" i="4"/>
  <c r="AY17" i="4"/>
  <c r="P16" i="5"/>
  <c r="N16" i="5"/>
  <c r="Q16" i="5" s="1"/>
  <c r="K18" i="6"/>
  <c r="J19" i="6"/>
  <c r="N16" i="6"/>
  <c r="Q16" i="6" s="1"/>
  <c r="AB19" i="4"/>
  <c r="Q22" i="4"/>
  <c r="AD21" i="4"/>
  <c r="AE20" i="4"/>
  <c r="AH21" i="4"/>
  <c r="AH22" i="4" s="1"/>
  <c r="B18" i="6"/>
  <c r="A19" i="6"/>
  <c r="G21" i="4"/>
  <c r="G22" i="4" s="1"/>
  <c r="L17" i="6"/>
  <c r="N17" i="6" s="1"/>
  <c r="M17" i="6"/>
  <c r="O17" i="6" s="1"/>
  <c r="G16" i="6"/>
  <c r="H16" i="6" s="1"/>
  <c r="I21" i="4"/>
  <c r="I22" i="4" s="1"/>
  <c r="O22" i="4"/>
  <c r="AV21" i="4"/>
  <c r="AV22" i="4" s="1"/>
  <c r="BE16" i="4"/>
  <c r="AR21" i="4"/>
  <c r="AR22" i="4" s="1"/>
  <c r="AJ18" i="4"/>
  <c r="AK17" i="4"/>
  <c r="BE17" i="4" s="1"/>
  <c r="AN21" i="4"/>
  <c r="AN22" i="4" s="1"/>
  <c r="O17" i="5"/>
  <c r="G17" i="5"/>
  <c r="AT21" i="4"/>
  <c r="AT22" i="4" s="1"/>
  <c r="M21" i="4"/>
  <c r="M22" i="4" s="1"/>
  <c r="H16" i="5"/>
  <c r="F16" i="5"/>
  <c r="AL21" i="4"/>
  <c r="AL22" i="4" s="1"/>
  <c r="C21" i="4"/>
  <c r="C22" i="4" s="1"/>
  <c r="U22" i="4"/>
  <c r="K21" i="4"/>
  <c r="K22" i="4" s="1"/>
  <c r="AZ21" i="4"/>
  <c r="AZ22" i="4" s="1"/>
  <c r="AB20" i="4" l="1"/>
  <c r="W23" i="4"/>
  <c r="H17" i="5"/>
  <c r="F17" i="5"/>
  <c r="D18" i="6"/>
  <c r="F18" i="6"/>
  <c r="E18" i="6"/>
  <c r="H18" i="6" s="1"/>
  <c r="C18" i="6"/>
  <c r="G18" i="6" s="1"/>
  <c r="M18" i="6"/>
  <c r="O18" i="6" s="1"/>
  <c r="L18" i="6"/>
  <c r="P18" i="6" s="1"/>
  <c r="B22" i="4"/>
  <c r="AV23" i="4" s="1"/>
  <c r="A23" i="4"/>
  <c r="AN23" i="4"/>
  <c r="P17" i="5"/>
  <c r="N17" i="5"/>
  <c r="AS21" i="4"/>
  <c r="J21" i="4"/>
  <c r="AG21" i="4"/>
  <c r="F21" i="4"/>
  <c r="R21" i="4"/>
  <c r="BA21" i="4"/>
  <c r="BC21" i="4"/>
  <c r="AI21" i="4"/>
  <c r="AO21" i="4"/>
  <c r="X21" i="4"/>
  <c r="AA21" i="4"/>
  <c r="BD21" i="4" s="1"/>
  <c r="P21" i="4"/>
  <c r="N21" i="4"/>
  <c r="AM21" i="4"/>
  <c r="V21" i="4"/>
  <c r="AU21" i="4"/>
  <c r="L21" i="4"/>
  <c r="H21" i="4"/>
  <c r="T21" i="4"/>
  <c r="AQ21" i="4"/>
  <c r="Z21" i="4"/>
  <c r="AW21" i="4"/>
  <c r="D21" i="4"/>
  <c r="BB22" i="4"/>
  <c r="BB23" i="4" s="1"/>
  <c r="AL23" i="4"/>
  <c r="I23" i="4"/>
  <c r="S22" i="4"/>
  <c r="S23" i="4" s="1"/>
  <c r="AF22" i="4"/>
  <c r="AF23" i="4" s="1"/>
  <c r="O23" i="4"/>
  <c r="C23" i="4"/>
  <c r="I16" i="5"/>
  <c r="AJ19" i="4"/>
  <c r="AK18" i="4"/>
  <c r="AE21" i="4"/>
  <c r="AD22" i="4"/>
  <c r="E22" i="4"/>
  <c r="E23" i="4" s="1"/>
  <c r="K19" i="6"/>
  <c r="J20" i="6"/>
  <c r="AR23" i="4"/>
  <c r="Q23" i="4"/>
  <c r="AX19" i="4"/>
  <c r="AY18" i="4"/>
  <c r="G18" i="5"/>
  <c r="O18" i="5"/>
  <c r="K23" i="4"/>
  <c r="A20" i="6"/>
  <c r="B19" i="6"/>
  <c r="M23" i="4"/>
  <c r="P17" i="6"/>
  <c r="Q17" i="6" s="1"/>
  <c r="AP22" i="4"/>
  <c r="AP23" i="4" s="1"/>
  <c r="E17" i="6"/>
  <c r="H17" i="6" s="1"/>
  <c r="B19" i="5"/>
  <c r="A20" i="5"/>
  <c r="C19" i="5"/>
  <c r="I17" i="5" l="1"/>
  <c r="P18" i="5"/>
  <c r="N18" i="5"/>
  <c r="Q17" i="5"/>
  <c r="AX20" i="4"/>
  <c r="AY19" i="4"/>
  <c r="AD23" i="4"/>
  <c r="AE22" i="4"/>
  <c r="G23" i="4"/>
  <c r="C19" i="6"/>
  <c r="G19" i="6" s="1"/>
  <c r="N19" i="6"/>
  <c r="D19" i="6"/>
  <c r="F19" i="6" s="1"/>
  <c r="A24" i="4"/>
  <c r="O24" i="4" s="1"/>
  <c r="B23" i="4"/>
  <c r="H18" i="5"/>
  <c r="F18" i="5"/>
  <c r="I18" i="5" s="1"/>
  <c r="B20" i="6"/>
  <c r="A21" i="6"/>
  <c r="BE18" i="4"/>
  <c r="D22" i="4"/>
  <c r="J22" i="4"/>
  <c r="AS22" i="4"/>
  <c r="F22" i="4"/>
  <c r="AI22" i="4"/>
  <c r="P22" i="4"/>
  <c r="BC22" i="4"/>
  <c r="R22" i="4"/>
  <c r="BA22" i="4"/>
  <c r="X22" i="4"/>
  <c r="AG22" i="4"/>
  <c r="V22" i="4"/>
  <c r="N22" i="4"/>
  <c r="AM22" i="4"/>
  <c r="H22" i="4"/>
  <c r="AQ22" i="4"/>
  <c r="AA22" i="4"/>
  <c r="BD22" i="4" s="1"/>
  <c r="AO22" i="4"/>
  <c r="AW22" i="4"/>
  <c r="L22" i="4"/>
  <c r="T22" i="4"/>
  <c r="Z22" i="4"/>
  <c r="AU22" i="4"/>
  <c r="AT23" i="4"/>
  <c r="A21" i="5"/>
  <c r="C20" i="5"/>
  <c r="B20" i="5"/>
  <c r="K20" i="6"/>
  <c r="J21" i="6"/>
  <c r="AZ23" i="4"/>
  <c r="G19" i="5"/>
  <c r="O19" i="5"/>
  <c r="K24" i="4"/>
  <c r="AJ20" i="4"/>
  <c r="AK19" i="4"/>
  <c r="L19" i="6"/>
  <c r="M19" i="6"/>
  <c r="O19" i="6" s="1"/>
  <c r="AB21" i="4"/>
  <c r="Y23" i="4"/>
  <c r="Y24" i="4" s="1"/>
  <c r="AH23" i="4"/>
  <c r="N18" i="6"/>
  <c r="Q18" i="6" s="1"/>
  <c r="U23" i="4"/>
  <c r="U24" i="4" s="1"/>
  <c r="Q18" i="5" l="1"/>
  <c r="AO23" i="4"/>
  <c r="AM23" i="4"/>
  <c r="AQ23" i="4"/>
  <c r="Z23" i="4"/>
  <c r="BC23" i="4"/>
  <c r="P23" i="4"/>
  <c r="J23" i="4"/>
  <c r="L23" i="4"/>
  <c r="T23" i="4"/>
  <c r="AA23" i="4"/>
  <c r="BD23" i="4" s="1"/>
  <c r="V23" i="4"/>
  <c r="AI23" i="4"/>
  <c r="N23" i="4"/>
  <c r="F23" i="4"/>
  <c r="AS23" i="4"/>
  <c r="D23" i="4"/>
  <c r="R23" i="4"/>
  <c r="AW23" i="4"/>
  <c r="H23" i="4"/>
  <c r="AG23" i="4"/>
  <c r="BA23" i="4"/>
  <c r="AU23" i="4"/>
  <c r="X23" i="4"/>
  <c r="E19" i="6"/>
  <c r="H19" i="6" s="1"/>
  <c r="W24" i="4"/>
  <c r="AR24" i="4"/>
  <c r="AR25" i="4" s="1"/>
  <c r="I24" i="4"/>
  <c r="S24" i="4"/>
  <c r="AX21" i="4"/>
  <c r="AY20" i="4"/>
  <c r="AZ24" i="4"/>
  <c r="C24" i="4"/>
  <c r="P19" i="5"/>
  <c r="N19" i="5"/>
  <c r="BB24" i="4"/>
  <c r="O20" i="5"/>
  <c r="G20" i="5"/>
  <c r="B21" i="6"/>
  <c r="A22" i="6"/>
  <c r="Q24" i="4"/>
  <c r="G24" i="4"/>
  <c r="G25" i="4" s="1"/>
  <c r="AH24" i="4"/>
  <c r="H19" i="5"/>
  <c r="F19" i="5"/>
  <c r="J22" i="6"/>
  <c r="K21" i="6"/>
  <c r="B21" i="5"/>
  <c r="A22" i="5"/>
  <c r="C21" i="5"/>
  <c r="C20" i="6"/>
  <c r="D20" i="6"/>
  <c r="F20" i="6" s="1"/>
  <c r="AN24" i="4"/>
  <c r="AN25" i="4" s="1"/>
  <c r="AB22" i="4"/>
  <c r="BE19" i="4"/>
  <c r="M20" i="6"/>
  <c r="O20" i="6" s="1"/>
  <c r="L20" i="6"/>
  <c r="P20" i="6" s="1"/>
  <c r="AF24" i="4"/>
  <c r="AL24" i="4"/>
  <c r="AL25" i="4" s="1"/>
  <c r="B24" i="4"/>
  <c r="K25" i="4" s="1"/>
  <c r="A25" i="4"/>
  <c r="P19" i="6"/>
  <c r="Q19" i="6" s="1"/>
  <c r="E24" i="4"/>
  <c r="E25" i="4" s="1"/>
  <c r="M24" i="4"/>
  <c r="AP24" i="4"/>
  <c r="AP25" i="4" s="1"/>
  <c r="AJ21" i="4"/>
  <c r="AK20" i="4"/>
  <c r="BE20" i="4" s="1"/>
  <c r="AT24" i="4"/>
  <c r="AT25" i="4" s="1"/>
  <c r="AD24" i="4"/>
  <c r="AE23" i="4"/>
  <c r="AV24" i="4"/>
  <c r="AV25" i="4" s="1"/>
  <c r="Q19" i="5" l="1"/>
  <c r="H20" i="5"/>
  <c r="F20" i="5"/>
  <c r="G20" i="6"/>
  <c r="Q25" i="4"/>
  <c r="Q26" i="4" s="1"/>
  <c r="AD25" i="4"/>
  <c r="AE24" i="4"/>
  <c r="P20" i="5"/>
  <c r="N20" i="5"/>
  <c r="L21" i="6"/>
  <c r="P21" i="6" s="1"/>
  <c r="M21" i="6"/>
  <c r="A23" i="6"/>
  <c r="B22" i="6"/>
  <c r="C25" i="4"/>
  <c r="J23" i="6"/>
  <c r="K22" i="6"/>
  <c r="O21" i="6"/>
  <c r="E21" i="6"/>
  <c r="D21" i="6"/>
  <c r="F21" i="6" s="1"/>
  <c r="C21" i="6"/>
  <c r="G21" i="6" s="1"/>
  <c r="AZ25" i="4"/>
  <c r="W25" i="4"/>
  <c r="W26" i="4" s="1"/>
  <c r="AN26" i="4"/>
  <c r="I19" i="5"/>
  <c r="AB23" i="4"/>
  <c r="B25" i="4"/>
  <c r="AT26" i="4" s="1"/>
  <c r="A26" i="4"/>
  <c r="AJ22" i="4"/>
  <c r="AK21" i="4"/>
  <c r="BE21" i="4" s="1"/>
  <c r="AM24" i="4"/>
  <c r="H24" i="4"/>
  <c r="AQ24" i="4"/>
  <c r="V24" i="4"/>
  <c r="BA24" i="4"/>
  <c r="D24" i="4"/>
  <c r="BC24" i="4"/>
  <c r="AU24" i="4"/>
  <c r="F24" i="4"/>
  <c r="P24" i="4"/>
  <c r="AI24" i="4"/>
  <c r="AS24" i="4"/>
  <c r="R24" i="4"/>
  <c r="AG24" i="4"/>
  <c r="Z24" i="4"/>
  <c r="N24" i="4"/>
  <c r="L24" i="4"/>
  <c r="T24" i="4"/>
  <c r="J24" i="4"/>
  <c r="X24" i="4"/>
  <c r="AA24" i="4"/>
  <c r="BD24" i="4" s="1"/>
  <c r="AW24" i="4"/>
  <c r="AO24" i="4"/>
  <c r="AX22" i="4"/>
  <c r="AY21" i="4"/>
  <c r="E26" i="4"/>
  <c r="AL26" i="4"/>
  <c r="E20" i="6"/>
  <c r="H20" i="6" s="1"/>
  <c r="O21" i="5"/>
  <c r="G21" i="5"/>
  <c r="AH25" i="4"/>
  <c r="AH26" i="4" s="1"/>
  <c r="S25" i="4"/>
  <c r="S26" i="4" s="1"/>
  <c r="Y25" i="4"/>
  <c r="Y26" i="4" s="1"/>
  <c r="C22" i="5"/>
  <c r="A23" i="5"/>
  <c r="B22" i="5"/>
  <c r="AP26" i="4"/>
  <c r="M25" i="4"/>
  <c r="M26" i="4" s="1"/>
  <c r="AF25" i="4"/>
  <c r="AF26" i="4" s="1"/>
  <c r="N20" i="6"/>
  <c r="Q20" i="6" s="1"/>
  <c r="U25" i="4"/>
  <c r="U26" i="4" s="1"/>
  <c r="BB25" i="4"/>
  <c r="BB26" i="4" s="1"/>
  <c r="I25" i="4"/>
  <c r="I26" i="4" s="1"/>
  <c r="O25" i="4"/>
  <c r="O26" i="4" s="1"/>
  <c r="Q20" i="5" l="1"/>
  <c r="AX23" i="4"/>
  <c r="AY22" i="4"/>
  <c r="AN27" i="4"/>
  <c r="H21" i="5"/>
  <c r="F21" i="5"/>
  <c r="I21" i="5" s="1"/>
  <c r="S27" i="4"/>
  <c r="B23" i="6"/>
  <c r="A24" i="6"/>
  <c r="M22" i="6"/>
  <c r="O22" i="6" s="1"/>
  <c r="L22" i="6"/>
  <c r="P21" i="5"/>
  <c r="N21" i="5"/>
  <c r="AJ23" i="4"/>
  <c r="AK22" i="4"/>
  <c r="BE22" i="4" s="1"/>
  <c r="AZ26" i="4"/>
  <c r="J24" i="6"/>
  <c r="K23" i="6"/>
  <c r="AB24" i="4"/>
  <c r="B26" i="4"/>
  <c r="A27" i="4"/>
  <c r="U27" i="4" s="1"/>
  <c r="I20" i="5"/>
  <c r="Q27" i="4"/>
  <c r="A24" i="5"/>
  <c r="B23" i="5"/>
  <c r="C23" i="5"/>
  <c r="AL27" i="4"/>
  <c r="AQ25" i="4"/>
  <c r="Z25" i="4"/>
  <c r="AI25" i="4"/>
  <c r="D25" i="4"/>
  <c r="V25" i="4"/>
  <c r="AM25" i="4"/>
  <c r="P25" i="4"/>
  <c r="N25" i="4"/>
  <c r="BC25" i="4"/>
  <c r="AS25" i="4"/>
  <c r="J25" i="4"/>
  <c r="AG25" i="4"/>
  <c r="F25" i="4"/>
  <c r="R25" i="4"/>
  <c r="AO25" i="4"/>
  <c r="L25" i="4"/>
  <c r="BA25" i="4"/>
  <c r="AW25" i="4"/>
  <c r="T25" i="4"/>
  <c r="AU25" i="4"/>
  <c r="AA25" i="4"/>
  <c r="BD25" i="4" s="1"/>
  <c r="X25" i="4"/>
  <c r="H25" i="4"/>
  <c r="AV26" i="4"/>
  <c r="AV27" i="4" s="1"/>
  <c r="BB27" i="4"/>
  <c r="AF27" i="4"/>
  <c r="M27" i="4"/>
  <c r="O22" i="5"/>
  <c r="G22" i="5"/>
  <c r="E27" i="4"/>
  <c r="G26" i="4"/>
  <c r="G27" i="4" s="1"/>
  <c r="N21" i="6"/>
  <c r="Q21" i="6" s="1"/>
  <c r="C26" i="4"/>
  <c r="C27" i="4" s="1"/>
  <c r="AE25" i="4"/>
  <c r="AD26" i="4"/>
  <c r="AR26" i="4"/>
  <c r="AR27" i="4" s="1"/>
  <c r="H21" i="6"/>
  <c r="AP27" i="4"/>
  <c r="Y27" i="4"/>
  <c r="D22" i="6"/>
  <c r="F22" i="6"/>
  <c r="C22" i="6"/>
  <c r="G22" i="6" s="1"/>
  <c r="N22" i="6"/>
  <c r="E22" i="6"/>
  <c r="H22" i="6" s="1"/>
  <c r="K26" i="4"/>
  <c r="K27" i="4" s="1"/>
  <c r="Q21" i="5" l="1"/>
  <c r="G23" i="5"/>
  <c r="O23" i="5"/>
  <c r="L23" i="6"/>
  <c r="M23" i="6"/>
  <c r="O23" i="6" s="1"/>
  <c r="P22" i="6"/>
  <c r="P22" i="5"/>
  <c r="N22" i="5"/>
  <c r="AD27" i="4"/>
  <c r="AE26" i="4"/>
  <c r="M28" i="4"/>
  <c r="A25" i="5"/>
  <c r="B24" i="5"/>
  <c r="C24" i="5"/>
  <c r="BA26" i="4"/>
  <c r="V26" i="4"/>
  <c r="T26" i="4"/>
  <c r="AM26" i="4"/>
  <c r="J26" i="4"/>
  <c r="AQ26" i="4"/>
  <c r="Z26" i="4"/>
  <c r="F26" i="4"/>
  <c r="D26" i="4"/>
  <c r="N26" i="4"/>
  <c r="BC26" i="4"/>
  <c r="AG26" i="4"/>
  <c r="AU26" i="4"/>
  <c r="AO26" i="4"/>
  <c r="AW26" i="4"/>
  <c r="H26" i="4"/>
  <c r="AI26" i="4"/>
  <c r="R26" i="4"/>
  <c r="AA26" i="4"/>
  <c r="BD26" i="4" s="1"/>
  <c r="AS26" i="4"/>
  <c r="L26" i="4"/>
  <c r="P26" i="4"/>
  <c r="X26" i="4"/>
  <c r="AZ27" i="4"/>
  <c r="W27" i="4"/>
  <c r="AH27" i="4"/>
  <c r="AL28" i="4"/>
  <c r="H22" i="5"/>
  <c r="F22" i="5"/>
  <c r="K24" i="6"/>
  <c r="J25" i="6"/>
  <c r="AB25" i="4"/>
  <c r="G28" i="4"/>
  <c r="K28" i="4"/>
  <c r="AN28" i="4"/>
  <c r="C28" i="4"/>
  <c r="AJ24" i="4"/>
  <c r="AK23" i="4"/>
  <c r="A25" i="6"/>
  <c r="B24" i="6"/>
  <c r="AX24" i="4"/>
  <c r="AY23" i="4"/>
  <c r="S28" i="4"/>
  <c r="Q22" i="6"/>
  <c r="A28" i="4"/>
  <c r="Q28" i="4" s="1"/>
  <c r="B27" i="4"/>
  <c r="AR28" i="4" s="1"/>
  <c r="AV28" i="4"/>
  <c r="I27" i="4"/>
  <c r="I28" i="4" s="1"/>
  <c r="O27" i="4"/>
  <c r="O28" i="4" s="1"/>
  <c r="N23" i="6"/>
  <c r="D23" i="6"/>
  <c r="F23" i="6" s="1"/>
  <c r="C23" i="6"/>
  <c r="E23" i="6"/>
  <c r="AT27" i="4"/>
  <c r="AT28" i="4" s="1"/>
  <c r="Q22" i="5" l="1"/>
  <c r="I22" i="5"/>
  <c r="P23" i="6"/>
  <c r="Q23" i="6" s="1"/>
  <c r="I29" i="4"/>
  <c r="C24" i="6"/>
  <c r="E24" i="6"/>
  <c r="D24" i="6"/>
  <c r="F24" i="6" s="1"/>
  <c r="AN29" i="4"/>
  <c r="AT29" i="4"/>
  <c r="AE27" i="4"/>
  <c r="AD28" i="4"/>
  <c r="BE23" i="4"/>
  <c r="AF28" i="4"/>
  <c r="AP28" i="4"/>
  <c r="AL29" i="4"/>
  <c r="G23" i="6"/>
  <c r="H23" i="6" s="1"/>
  <c r="AQ27" i="4"/>
  <c r="Z27" i="4"/>
  <c r="AM27" i="4"/>
  <c r="T27" i="4"/>
  <c r="AS27" i="4"/>
  <c r="V27" i="4"/>
  <c r="BC27" i="4"/>
  <c r="P27" i="4"/>
  <c r="N27" i="4"/>
  <c r="AU27" i="4"/>
  <c r="D27" i="4"/>
  <c r="J27" i="4"/>
  <c r="R27" i="4"/>
  <c r="AG27" i="4"/>
  <c r="F27" i="4"/>
  <c r="H27" i="4"/>
  <c r="AA27" i="4"/>
  <c r="BD27" i="4" s="1"/>
  <c r="AO27" i="4"/>
  <c r="L27" i="4"/>
  <c r="BA27" i="4"/>
  <c r="AW27" i="4"/>
  <c r="X27" i="4"/>
  <c r="AI27" i="4"/>
  <c r="A29" i="4"/>
  <c r="B28" i="4"/>
  <c r="G29" i="4" s="1"/>
  <c r="J26" i="6"/>
  <c r="K25" i="6"/>
  <c r="AH28" i="4"/>
  <c r="AH29" i="4" s="1"/>
  <c r="G24" i="5"/>
  <c r="O24" i="5"/>
  <c r="E28" i="4"/>
  <c r="AX25" i="4"/>
  <c r="AY24" i="4"/>
  <c r="B25" i="6"/>
  <c r="A26" i="6"/>
  <c r="AJ25" i="4"/>
  <c r="AK24" i="4"/>
  <c r="BE24" i="4" s="1"/>
  <c r="BB28" i="4"/>
  <c r="BB29" i="4" s="1"/>
  <c r="M24" i="6"/>
  <c r="O24" i="6" s="1"/>
  <c r="L24" i="6"/>
  <c r="P24" i="6" s="1"/>
  <c r="W28" i="4"/>
  <c r="W29" i="4" s="1"/>
  <c r="Y28" i="4"/>
  <c r="Y29" i="4" s="1"/>
  <c r="H23" i="5"/>
  <c r="F23" i="5"/>
  <c r="O29" i="4"/>
  <c r="AV29" i="4"/>
  <c r="S29" i="4"/>
  <c r="C29" i="4"/>
  <c r="P23" i="5"/>
  <c r="N23" i="5"/>
  <c r="AZ28" i="4"/>
  <c r="AZ29" i="4" s="1"/>
  <c r="AB26" i="4"/>
  <c r="C25" i="5"/>
  <c r="A26" i="5"/>
  <c r="B25" i="5"/>
  <c r="U28" i="4"/>
  <c r="U29" i="4" s="1"/>
  <c r="Q23" i="5" l="1"/>
  <c r="H24" i="5"/>
  <c r="F24" i="5"/>
  <c r="I24" i="5" s="1"/>
  <c r="A27" i="6"/>
  <c r="B26" i="6"/>
  <c r="AH30" i="4"/>
  <c r="M29" i="4"/>
  <c r="K29" i="4"/>
  <c r="G24" i="6"/>
  <c r="H24" i="6" s="1"/>
  <c r="AN30" i="4"/>
  <c r="J27" i="6"/>
  <c r="K26" i="6"/>
  <c r="AP29" i="4"/>
  <c r="AP30" i="4" s="1"/>
  <c r="P24" i="5"/>
  <c r="N24" i="5"/>
  <c r="I30" i="4"/>
  <c r="AS28" i="4"/>
  <c r="N28" i="4"/>
  <c r="AU28" i="4"/>
  <c r="D28" i="4"/>
  <c r="F28" i="4"/>
  <c r="AI28" i="4"/>
  <c r="AG28" i="4"/>
  <c r="R28" i="4"/>
  <c r="AO28" i="4"/>
  <c r="X28" i="4"/>
  <c r="H28" i="4"/>
  <c r="BA28" i="4"/>
  <c r="L28" i="4"/>
  <c r="T28" i="4"/>
  <c r="P28" i="4"/>
  <c r="V28" i="4"/>
  <c r="BC28" i="4"/>
  <c r="AA28" i="4"/>
  <c r="BD28" i="4" s="1"/>
  <c r="AW28" i="4"/>
  <c r="AM28" i="4"/>
  <c r="Z28" i="4"/>
  <c r="J28" i="4"/>
  <c r="AQ28" i="4"/>
  <c r="AB27" i="4"/>
  <c r="AF29" i="4"/>
  <c r="C30" i="4"/>
  <c r="L25" i="6"/>
  <c r="M25" i="6"/>
  <c r="O25" i="6" s="1"/>
  <c r="S30" i="4"/>
  <c r="A27" i="5"/>
  <c r="B26" i="5"/>
  <c r="C26" i="5"/>
  <c r="O25" i="5"/>
  <c r="G25" i="5"/>
  <c r="AX26" i="4"/>
  <c r="AY25" i="4"/>
  <c r="A30" i="4"/>
  <c r="W30" i="4" s="1"/>
  <c r="B29" i="4"/>
  <c r="N24" i="6"/>
  <c r="Q24" i="6" s="1"/>
  <c r="Q29" i="4"/>
  <c r="Q30" i="4" s="1"/>
  <c r="AJ26" i="4"/>
  <c r="AK25" i="4"/>
  <c r="N25" i="6"/>
  <c r="C25" i="6"/>
  <c r="D25" i="6"/>
  <c r="F25" i="6"/>
  <c r="I23" i="5"/>
  <c r="E29" i="4"/>
  <c r="E30" i="4" s="1"/>
  <c r="AE28" i="4"/>
  <c r="AD29" i="4"/>
  <c r="AR29" i="4"/>
  <c r="AR30" i="4" s="1"/>
  <c r="Q24" i="5" l="1"/>
  <c r="C26" i="6"/>
  <c r="E26" i="6" s="1"/>
  <c r="D26" i="6"/>
  <c r="F26" i="6" s="1"/>
  <c r="N26" i="6"/>
  <c r="AD30" i="4"/>
  <c r="AE29" i="4"/>
  <c r="G25" i="6"/>
  <c r="AW29" i="4"/>
  <c r="R29" i="4"/>
  <c r="AO29" i="4"/>
  <c r="H29" i="4"/>
  <c r="AQ29" i="4"/>
  <c r="Z29" i="4"/>
  <c r="AI29" i="4"/>
  <c r="D29" i="4"/>
  <c r="V29" i="4"/>
  <c r="AM29" i="4"/>
  <c r="BA29" i="4"/>
  <c r="L29" i="4"/>
  <c r="AG29" i="4"/>
  <c r="T29" i="4"/>
  <c r="N29" i="4"/>
  <c r="J29" i="4"/>
  <c r="F29" i="4"/>
  <c r="BC29" i="4"/>
  <c r="AS29" i="4"/>
  <c r="P29" i="4"/>
  <c r="AU29" i="4"/>
  <c r="X29" i="4"/>
  <c r="AA29" i="4"/>
  <c r="BD29" i="4" s="1"/>
  <c r="P25" i="6"/>
  <c r="Q25" i="6" s="1"/>
  <c r="Y30" i="4"/>
  <c r="B27" i="6"/>
  <c r="A28" i="6"/>
  <c r="E25" i="6"/>
  <c r="H25" i="6" s="1"/>
  <c r="AF30" i="4"/>
  <c r="M26" i="6"/>
  <c r="O26" i="6" s="1"/>
  <c r="L26" i="6"/>
  <c r="AX27" i="4"/>
  <c r="AY26" i="4"/>
  <c r="K27" i="6"/>
  <c r="J28" i="6"/>
  <c r="K30" i="4"/>
  <c r="P25" i="5"/>
  <c r="N25" i="5"/>
  <c r="G26" i="5"/>
  <c r="O26" i="5"/>
  <c r="AL30" i="4"/>
  <c r="U30" i="4"/>
  <c r="U31" i="4" s="1"/>
  <c r="BE25" i="4"/>
  <c r="O30" i="4"/>
  <c r="O31" i="4" s="1"/>
  <c r="M30" i="4"/>
  <c r="AT30" i="4"/>
  <c r="Q31" i="4"/>
  <c r="B30" i="4"/>
  <c r="C31" i="4" s="1"/>
  <c r="A31" i="4"/>
  <c r="S31" i="4" s="1"/>
  <c r="AB28" i="4"/>
  <c r="AZ30" i="4"/>
  <c r="BB30" i="4"/>
  <c r="AJ27" i="4"/>
  <c r="AK26" i="4"/>
  <c r="BE26" i="4" s="1"/>
  <c r="B27" i="5"/>
  <c r="C27" i="5"/>
  <c r="A28" i="5"/>
  <c r="AV30" i="4"/>
  <c r="H25" i="5"/>
  <c r="F25" i="5"/>
  <c r="I25" i="5" s="1"/>
  <c r="G30" i="4"/>
  <c r="Q25" i="5" l="1"/>
  <c r="AB29" i="4"/>
  <c r="AV31" i="4"/>
  <c r="AV32" i="4" s="1"/>
  <c r="H26" i="5"/>
  <c r="F26" i="5"/>
  <c r="I26" i="5" s="1"/>
  <c r="AP31" i="4"/>
  <c r="AL31" i="4"/>
  <c r="AH31" i="4"/>
  <c r="AH32" i="4" s="1"/>
  <c r="AJ28" i="4"/>
  <c r="AK27" i="4"/>
  <c r="BB31" i="4"/>
  <c r="AT31" i="4"/>
  <c r="AR31" i="4"/>
  <c r="AE30" i="4"/>
  <c r="AD31" i="4"/>
  <c r="G27" i="5"/>
  <c r="O27" i="5"/>
  <c r="J29" i="6"/>
  <c r="K28" i="6"/>
  <c r="AF31" i="4"/>
  <c r="AZ31" i="4"/>
  <c r="M31" i="4"/>
  <c r="M32" i="4" s="1"/>
  <c r="AX28" i="4"/>
  <c r="AY27" i="4"/>
  <c r="B28" i="6"/>
  <c r="A29" i="6"/>
  <c r="I31" i="4"/>
  <c r="AN31" i="4"/>
  <c r="E31" i="4"/>
  <c r="E32" i="4" s="1"/>
  <c r="L27" i="6"/>
  <c r="M27" i="6"/>
  <c r="P26" i="5"/>
  <c r="N26" i="5"/>
  <c r="D27" i="6"/>
  <c r="F27" i="6"/>
  <c r="C27" i="6"/>
  <c r="G27" i="6" s="1"/>
  <c r="N27" i="6"/>
  <c r="O27" i="6"/>
  <c r="AS30" i="4"/>
  <c r="J30" i="4"/>
  <c r="AU30" i="4"/>
  <c r="P30" i="4"/>
  <c r="AI30" i="4"/>
  <c r="T30" i="4"/>
  <c r="AG30" i="4"/>
  <c r="X30" i="4"/>
  <c r="R30" i="4"/>
  <c r="AO30" i="4"/>
  <c r="H30" i="4"/>
  <c r="L30" i="4"/>
  <c r="BA30" i="4"/>
  <c r="AM30" i="4"/>
  <c r="D30" i="4"/>
  <c r="N30" i="4"/>
  <c r="BC30" i="4"/>
  <c r="AA30" i="4"/>
  <c r="BD30" i="4" s="1"/>
  <c r="AQ30" i="4"/>
  <c r="AW30" i="4"/>
  <c r="Z30" i="4"/>
  <c r="V30" i="4"/>
  <c r="F30" i="4"/>
  <c r="G26" i="6"/>
  <c r="H26" i="6" s="1"/>
  <c r="G31" i="4"/>
  <c r="G32" i="4" s="1"/>
  <c r="A29" i="5"/>
  <c r="B28" i="5"/>
  <c r="C28" i="5"/>
  <c r="A32" i="4"/>
  <c r="U32" i="4" s="1"/>
  <c r="B31" i="4"/>
  <c r="K31" i="4"/>
  <c r="K32" i="4" s="1"/>
  <c r="P26" i="6"/>
  <c r="Q26" i="6" s="1"/>
  <c r="Y31" i="4"/>
  <c r="Y32" i="4" s="1"/>
  <c r="W31" i="4"/>
  <c r="W32" i="4" s="1"/>
  <c r="AJ29" i="4" l="1"/>
  <c r="AK28" i="4"/>
  <c r="O28" i="5"/>
  <c r="G28" i="5"/>
  <c r="P27" i="6"/>
  <c r="AX29" i="4"/>
  <c r="AY28" i="4"/>
  <c r="AE31" i="4"/>
  <c r="AD32" i="4"/>
  <c r="AL32" i="4"/>
  <c r="P27" i="5"/>
  <c r="N27" i="5"/>
  <c r="H27" i="5"/>
  <c r="F27" i="5"/>
  <c r="AZ32" i="4"/>
  <c r="AR32" i="4"/>
  <c r="AP32" i="4"/>
  <c r="W33" i="4"/>
  <c r="AV33" i="4"/>
  <c r="A30" i="5"/>
  <c r="B29" i="5"/>
  <c r="C29" i="5"/>
  <c r="E27" i="6"/>
  <c r="H27" i="6" s="1"/>
  <c r="AN32" i="4"/>
  <c r="AF32" i="4"/>
  <c r="AT32" i="4"/>
  <c r="AT33" i="4" s="1"/>
  <c r="Q27" i="6"/>
  <c r="BA31" i="4"/>
  <c r="BC31" i="4"/>
  <c r="L31" i="4"/>
  <c r="AW31" i="4"/>
  <c r="AU31" i="4"/>
  <c r="AO31" i="4"/>
  <c r="X31" i="4"/>
  <c r="AQ31" i="4"/>
  <c r="Z31" i="4"/>
  <c r="H31" i="4"/>
  <c r="AS31" i="4"/>
  <c r="V31" i="4"/>
  <c r="AI31" i="4"/>
  <c r="AG31" i="4"/>
  <c r="F31" i="4"/>
  <c r="R31" i="4"/>
  <c r="D31" i="4"/>
  <c r="P31" i="4"/>
  <c r="T31" i="4"/>
  <c r="N31" i="4"/>
  <c r="AA31" i="4"/>
  <c r="BD31" i="4" s="1"/>
  <c r="J31" i="4"/>
  <c r="AM31" i="4"/>
  <c r="A33" i="4"/>
  <c r="Y33" i="4" s="1"/>
  <c r="B32" i="4"/>
  <c r="AH33" i="4" s="1"/>
  <c r="O32" i="4"/>
  <c r="O33" i="4" s="1"/>
  <c r="I32" i="4"/>
  <c r="I33" i="4" s="1"/>
  <c r="L28" i="6"/>
  <c r="P28" i="6" s="1"/>
  <c r="M28" i="6"/>
  <c r="BB32" i="4"/>
  <c r="BB33" i="4" s="1"/>
  <c r="S32" i="4"/>
  <c r="S33" i="4" s="1"/>
  <c r="O28" i="6"/>
  <c r="C28" i="6"/>
  <c r="E28" i="6" s="1"/>
  <c r="D28" i="6"/>
  <c r="F28" i="6" s="1"/>
  <c r="G33" i="4"/>
  <c r="AB30" i="4"/>
  <c r="Q26" i="5"/>
  <c r="B29" i="6"/>
  <c r="A30" i="6"/>
  <c r="B30" i="6" s="1"/>
  <c r="K29" i="6"/>
  <c r="J30" i="6"/>
  <c r="K30" i="6" s="1"/>
  <c r="BE27" i="4"/>
  <c r="Q32" i="4"/>
  <c r="Q33" i="4" s="1"/>
  <c r="C32" i="4"/>
  <c r="C33" i="4" s="1"/>
  <c r="Q27" i="5" l="1"/>
  <c r="I27" i="5"/>
  <c r="M29" i="6"/>
  <c r="M30" i="6" s="1"/>
  <c r="O30" i="6" s="1"/>
  <c r="L29" i="6"/>
  <c r="P29" i="6" s="1"/>
  <c r="P28" i="5"/>
  <c r="N28" i="5"/>
  <c r="M33" i="4"/>
  <c r="H28" i="5"/>
  <c r="F28" i="5"/>
  <c r="I28" i="5" s="1"/>
  <c r="AX30" i="4"/>
  <c r="AY29" i="4"/>
  <c r="N28" i="6"/>
  <c r="Q28" i="6" s="1"/>
  <c r="K33" i="4"/>
  <c r="G29" i="5"/>
  <c r="O29" i="5"/>
  <c r="D29" i="6"/>
  <c r="D30" i="6" s="1"/>
  <c r="F30" i="6" s="1"/>
  <c r="F29" i="6"/>
  <c r="C29" i="6"/>
  <c r="G29" i="6" s="1"/>
  <c r="O29" i="6"/>
  <c r="AF33" i="4"/>
  <c r="AP33" i="4"/>
  <c r="AP34" i="4" s="1"/>
  <c r="AL33" i="4"/>
  <c r="BE28" i="4"/>
  <c r="P32" i="4"/>
  <c r="AO32" i="4"/>
  <c r="H32" i="4"/>
  <c r="AS32" i="4"/>
  <c r="BA32" i="4"/>
  <c r="AW32" i="4"/>
  <c r="D32" i="4"/>
  <c r="AM32" i="4"/>
  <c r="V32" i="4"/>
  <c r="AG32" i="4"/>
  <c r="Z32" i="4"/>
  <c r="N32" i="4"/>
  <c r="T32" i="4"/>
  <c r="AA32" i="4"/>
  <c r="BD32" i="4" s="1"/>
  <c r="J32" i="4"/>
  <c r="F32" i="4"/>
  <c r="AQ32" i="4"/>
  <c r="L32" i="4"/>
  <c r="X32" i="4"/>
  <c r="BC32" i="4"/>
  <c r="AU32" i="4"/>
  <c r="AI32" i="4"/>
  <c r="R32" i="4"/>
  <c r="AN33" i="4"/>
  <c r="AN34" i="4" s="1"/>
  <c r="B30" i="5"/>
  <c r="A31" i="5"/>
  <c r="C30" i="5"/>
  <c r="AR33" i="4"/>
  <c r="AR34" i="4" s="1"/>
  <c r="AE32" i="4"/>
  <c r="AD33" i="4"/>
  <c r="AJ30" i="4"/>
  <c r="AK29" i="4"/>
  <c r="G28" i="6"/>
  <c r="H28" i="6" s="1"/>
  <c r="B33" i="4"/>
  <c r="BB34" i="4" s="1"/>
  <c r="A34" i="4"/>
  <c r="Q34" i="4" s="1"/>
  <c r="AB31" i="4"/>
  <c r="E33" i="4"/>
  <c r="AZ33" i="4"/>
  <c r="U33" i="4"/>
  <c r="G34" i="4" l="1"/>
  <c r="G35" i="4" s="1"/>
  <c r="C34" i="4"/>
  <c r="C35" i="4" s="1"/>
  <c r="P29" i="5"/>
  <c r="N29" i="5"/>
  <c r="AX31" i="4"/>
  <c r="AY30" i="4"/>
  <c r="A35" i="4"/>
  <c r="B34" i="4"/>
  <c r="AN35" i="4"/>
  <c r="W34" i="4"/>
  <c r="W35" i="4" s="1"/>
  <c r="AF34" i="4"/>
  <c r="AF35" i="4" s="1"/>
  <c r="U34" i="4"/>
  <c r="U35" i="4" s="1"/>
  <c r="AB32" i="4"/>
  <c r="I34" i="4"/>
  <c r="I35" i="4" s="1"/>
  <c r="O34" i="4"/>
  <c r="O35" i="4" s="1"/>
  <c r="S34" i="4"/>
  <c r="S35" i="4" s="1"/>
  <c r="H29" i="5"/>
  <c r="F29" i="5"/>
  <c r="I29" i="5" s="1"/>
  <c r="G30" i="5"/>
  <c r="O30" i="5"/>
  <c r="AT34" i="4"/>
  <c r="AT35" i="4" s="1"/>
  <c r="AZ34" i="4"/>
  <c r="AZ35" i="4" s="1"/>
  <c r="BE29" i="4"/>
  <c r="B31" i="5"/>
  <c r="A32" i="5"/>
  <c r="C31" i="5"/>
  <c r="AV34" i="4"/>
  <c r="AV35" i="4" s="1"/>
  <c r="N29" i="6"/>
  <c r="Q29" i="6" s="1"/>
  <c r="L30" i="6"/>
  <c r="M34" i="4"/>
  <c r="M35" i="4" s="1"/>
  <c r="Y34" i="4"/>
  <c r="Y35" i="4" s="1"/>
  <c r="C30" i="6"/>
  <c r="E34" i="4"/>
  <c r="E35" i="4" s="1"/>
  <c r="AJ31" i="4"/>
  <c r="AK30" i="4"/>
  <c r="BE30" i="4" s="1"/>
  <c r="AP35" i="4"/>
  <c r="AQ33" i="4"/>
  <c r="X33" i="4"/>
  <c r="N33" i="4"/>
  <c r="D33" i="4"/>
  <c r="R33" i="4"/>
  <c r="J33" i="4"/>
  <c r="P33" i="4"/>
  <c r="L33" i="4"/>
  <c r="F33" i="4"/>
  <c r="AS33" i="4"/>
  <c r="H33" i="4"/>
  <c r="AM33" i="4"/>
  <c r="AA33" i="4"/>
  <c r="BD33" i="4" s="1"/>
  <c r="AG33" i="4"/>
  <c r="AI33" i="4"/>
  <c r="AO33" i="4"/>
  <c r="AU33" i="4"/>
  <c r="Z33" i="4"/>
  <c r="T33" i="4"/>
  <c r="BC33" i="4"/>
  <c r="BA33" i="4"/>
  <c r="AW33" i="4"/>
  <c r="V33" i="4"/>
  <c r="K34" i="4"/>
  <c r="K35" i="4" s="1"/>
  <c r="AD34" i="4"/>
  <c r="AE33" i="4"/>
  <c r="AL34" i="4"/>
  <c r="AL35" i="4" s="1"/>
  <c r="E29" i="6"/>
  <c r="H29" i="6" s="1"/>
  <c r="Q28" i="5"/>
  <c r="AH34" i="4"/>
  <c r="AH35" i="4" s="1"/>
  <c r="Q29" i="5" l="1"/>
  <c r="AX32" i="4"/>
  <c r="AY31" i="4"/>
  <c r="W36" i="4"/>
  <c r="P30" i="5"/>
  <c r="N30" i="5"/>
  <c r="P30" i="6"/>
  <c r="N30" i="6"/>
  <c r="G36" i="4"/>
  <c r="U36" i="4"/>
  <c r="AI34" i="4"/>
  <c r="BC34" i="4"/>
  <c r="J34" i="4"/>
  <c r="R34" i="4"/>
  <c r="AA34" i="4"/>
  <c r="BD34" i="4" s="1"/>
  <c r="H34" i="4"/>
  <c r="AU34" i="4"/>
  <c r="AQ34" i="4"/>
  <c r="BA34" i="4"/>
  <c r="X34" i="4"/>
  <c r="AS34" i="4"/>
  <c r="N34" i="4"/>
  <c r="AW34" i="4"/>
  <c r="D34" i="4"/>
  <c r="P34" i="4"/>
  <c r="AM34" i="4"/>
  <c r="V34" i="4"/>
  <c r="F34" i="4"/>
  <c r="L34" i="4"/>
  <c r="T34" i="4"/>
  <c r="AO34" i="4"/>
  <c r="AG34" i="4"/>
  <c r="Z34" i="4"/>
  <c r="AR35" i="4"/>
  <c r="AT36" i="4"/>
  <c r="M36" i="4"/>
  <c r="AB33" i="4"/>
  <c r="AJ32" i="4"/>
  <c r="AK31" i="4"/>
  <c r="AV36" i="4"/>
  <c r="B35" i="4"/>
  <c r="AL36" i="4" s="1"/>
  <c r="A36" i="4"/>
  <c r="Y36" i="4" s="1"/>
  <c r="Q35" i="4"/>
  <c r="Q36" i="4" s="1"/>
  <c r="A33" i="5"/>
  <c r="B32" i="5"/>
  <c r="C32" i="5"/>
  <c r="G30" i="6"/>
  <c r="E30" i="6"/>
  <c r="H30" i="6" s="1"/>
  <c r="H4" i="6" s="1"/>
  <c r="H30" i="5"/>
  <c r="F30" i="5"/>
  <c r="C36" i="4"/>
  <c r="AE34" i="4"/>
  <c r="AD35" i="4"/>
  <c r="E36" i="4"/>
  <c r="G31" i="5"/>
  <c r="O31" i="5"/>
  <c r="AZ36" i="4"/>
  <c r="I36" i="4"/>
  <c r="BB35" i="4"/>
  <c r="BB36" i="4" s="1"/>
  <c r="I30" i="5" l="1"/>
  <c r="E37" i="4"/>
  <c r="K36" i="4"/>
  <c r="AQ35" i="4"/>
  <c r="X35" i="4"/>
  <c r="N35" i="4"/>
  <c r="AS35" i="4"/>
  <c r="R35" i="4"/>
  <c r="J35" i="4"/>
  <c r="P35" i="4"/>
  <c r="L35" i="4"/>
  <c r="F35" i="4"/>
  <c r="D35" i="4"/>
  <c r="H35" i="4"/>
  <c r="AM35" i="4"/>
  <c r="AO35" i="4"/>
  <c r="T35" i="4"/>
  <c r="AW35" i="4"/>
  <c r="AA35" i="4"/>
  <c r="BD35" i="4" s="1"/>
  <c r="Z35" i="4"/>
  <c r="AG35" i="4"/>
  <c r="BC35" i="4"/>
  <c r="AU35" i="4"/>
  <c r="AI35" i="4"/>
  <c r="V35" i="4"/>
  <c r="BA35" i="4"/>
  <c r="AR36" i="4"/>
  <c r="AR37" i="4" s="1"/>
  <c r="AN36" i="4"/>
  <c r="AX33" i="4"/>
  <c r="AY32" i="4"/>
  <c r="Q37" i="4"/>
  <c r="AE35" i="4"/>
  <c r="AD36" i="4"/>
  <c r="AT37" i="4"/>
  <c r="O36" i="4"/>
  <c r="O37" i="4" s="1"/>
  <c r="Q30" i="6"/>
  <c r="Q4" i="6" s="1"/>
  <c r="AF36" i="4"/>
  <c r="G32" i="5"/>
  <c r="O32" i="5"/>
  <c r="S36" i="4"/>
  <c r="A34" i="5"/>
  <c r="C33" i="5"/>
  <c r="B33" i="5"/>
  <c r="BE31" i="4"/>
  <c r="H31" i="5"/>
  <c r="F31" i="5"/>
  <c r="Q30" i="5"/>
  <c r="AP36" i="4"/>
  <c r="AP37" i="4" s="1"/>
  <c r="M37" i="4"/>
  <c r="W37" i="4"/>
  <c r="A37" i="4"/>
  <c r="B37" i="4" s="1"/>
  <c r="B36" i="4"/>
  <c r="I37" i="4"/>
  <c r="AB34" i="4"/>
  <c r="AJ33" i="4"/>
  <c r="AK32" i="4"/>
  <c r="P31" i="5"/>
  <c r="N31" i="5"/>
  <c r="AH36" i="4"/>
  <c r="AH37" i="4" s="1"/>
  <c r="Q31" i="5" l="1"/>
  <c r="P36" i="4"/>
  <c r="H36" i="4"/>
  <c r="AG36" i="4"/>
  <c r="J36" i="4"/>
  <c r="F36" i="4"/>
  <c r="R36" i="4"/>
  <c r="Z36" i="4"/>
  <c r="N36" i="4"/>
  <c r="V36" i="4"/>
  <c r="AW36" i="4"/>
  <c r="AQ36" i="4"/>
  <c r="BA36" i="4"/>
  <c r="AS36" i="4"/>
  <c r="AO36" i="4"/>
  <c r="AA36" i="4"/>
  <c r="BD36" i="4" s="1"/>
  <c r="D36" i="4"/>
  <c r="BC36" i="4"/>
  <c r="T36" i="4"/>
  <c r="AI36" i="4"/>
  <c r="X36" i="4"/>
  <c r="AM36" i="4"/>
  <c r="L36" i="4"/>
  <c r="AU36" i="4"/>
  <c r="BE32" i="4"/>
  <c r="AV37" i="4"/>
  <c r="G37" i="4"/>
  <c r="AN37" i="4"/>
  <c r="AJ34" i="4"/>
  <c r="AK33" i="4"/>
  <c r="BE33" i="4" s="1"/>
  <c r="AB35" i="4"/>
  <c r="P32" i="5"/>
  <c r="N32" i="5"/>
  <c r="G33" i="5"/>
  <c r="O33" i="5"/>
  <c r="AF37" i="4"/>
  <c r="K37" i="4"/>
  <c r="L37" i="4" s="1"/>
  <c r="AE36" i="4"/>
  <c r="AD37" i="4"/>
  <c r="AE37" i="4" s="1"/>
  <c r="H32" i="5"/>
  <c r="F32" i="5"/>
  <c r="I31" i="5"/>
  <c r="U37" i="4"/>
  <c r="V37" i="4" s="1"/>
  <c r="B34" i="5"/>
  <c r="A35" i="5"/>
  <c r="C34" i="5"/>
  <c r="AZ37" i="4"/>
  <c r="BA37" i="4" s="1"/>
  <c r="C37" i="4"/>
  <c r="D37" i="4" s="1"/>
  <c r="AL37" i="4"/>
  <c r="AI37" i="4"/>
  <c r="N37" i="4"/>
  <c r="AW37" i="4"/>
  <c r="T37" i="4"/>
  <c r="AQ37" i="4"/>
  <c r="X37" i="4"/>
  <c r="F37" i="4"/>
  <c r="H37" i="4"/>
  <c r="AS37" i="4"/>
  <c r="R37" i="4"/>
  <c r="AA37" i="4"/>
  <c r="BD37" i="4" s="1"/>
  <c r="AM37" i="4"/>
  <c r="P37" i="4"/>
  <c r="J37" i="4"/>
  <c r="AG37" i="4"/>
  <c r="AU37" i="4"/>
  <c r="AO37" i="4"/>
  <c r="S37" i="4"/>
  <c r="BB37" i="4"/>
  <c r="BC37" i="4" s="1"/>
  <c r="AX34" i="4"/>
  <c r="AY33" i="4"/>
  <c r="Y37" i="4"/>
  <c r="Z37" i="4" s="1"/>
  <c r="Q32" i="5" l="1"/>
  <c r="AB37" i="4"/>
  <c r="P33" i="5"/>
  <c r="N33" i="5"/>
  <c r="H33" i="5"/>
  <c r="F33" i="5"/>
  <c r="I33" i="5" s="1"/>
  <c r="O34" i="5"/>
  <c r="G34" i="5"/>
  <c r="AJ35" i="4"/>
  <c r="AK34" i="4"/>
  <c r="BE34" i="4" s="1"/>
  <c r="AX35" i="4"/>
  <c r="AY34" i="4"/>
  <c r="B35" i="5"/>
  <c r="A36" i="5"/>
  <c r="C35" i="5"/>
  <c r="I32" i="5"/>
  <c r="AB36" i="4"/>
  <c r="AX36" i="4" l="1"/>
  <c r="AY35" i="4"/>
  <c r="G35" i="5"/>
  <c r="O35" i="5"/>
  <c r="H34" i="5"/>
  <c r="F34" i="5"/>
  <c r="I34" i="5" s="1"/>
  <c r="P34" i="5"/>
  <c r="N34" i="5"/>
  <c r="C36" i="5"/>
  <c r="A37" i="5"/>
  <c r="B36" i="5"/>
  <c r="Q33" i="5"/>
  <c r="AJ36" i="4"/>
  <c r="AK35" i="4"/>
  <c r="BE35" i="4" s="1"/>
  <c r="AB6" i="4"/>
  <c r="Q34" i="5" l="1"/>
  <c r="O36" i="5"/>
  <c r="G36" i="5"/>
  <c r="P35" i="5"/>
  <c r="N35" i="5"/>
  <c r="H35" i="5"/>
  <c r="F35" i="5"/>
  <c r="C37" i="5"/>
  <c r="B37" i="5"/>
  <c r="A38" i="5"/>
  <c r="AJ37" i="4"/>
  <c r="AK37" i="4" s="1"/>
  <c r="AK36" i="4"/>
  <c r="AX37" i="4"/>
  <c r="AY37" i="4" s="1"/>
  <c r="AY36" i="4"/>
  <c r="I35" i="5" l="1"/>
  <c r="P36" i="5"/>
  <c r="N36" i="5"/>
  <c r="BE37" i="4"/>
  <c r="BE6" i="4" s="1"/>
  <c r="H36" i="5"/>
  <c r="F36" i="5"/>
  <c r="A39" i="5"/>
  <c r="C38" i="5"/>
  <c r="B38" i="5"/>
  <c r="Q35" i="5"/>
  <c r="BE36" i="4"/>
  <c r="G37" i="5"/>
  <c r="O37" i="5"/>
  <c r="I36" i="5" l="1"/>
  <c r="O38" i="5"/>
  <c r="G38" i="5"/>
  <c r="Q36" i="5"/>
  <c r="H37" i="5"/>
  <c r="F37" i="5"/>
  <c r="B39" i="5"/>
  <c r="C39" i="5"/>
  <c r="A40" i="5"/>
  <c r="P37" i="5"/>
  <c r="N37" i="5"/>
  <c r="I37" i="5" l="1"/>
  <c r="Q37" i="5"/>
  <c r="B40" i="5"/>
  <c r="C40" i="5"/>
  <c r="A41" i="5"/>
  <c r="H38" i="5"/>
  <c r="F38" i="5"/>
  <c r="O39" i="5"/>
  <c r="G39" i="5"/>
  <c r="P38" i="5"/>
  <c r="N38" i="5"/>
  <c r="Q38" i="5" l="1"/>
  <c r="I38" i="5"/>
  <c r="G40" i="5"/>
  <c r="O40" i="5"/>
  <c r="P39" i="5"/>
  <c r="N39" i="5"/>
  <c r="H39" i="5"/>
  <c r="F39" i="5"/>
  <c r="A42" i="5"/>
  <c r="C41" i="5"/>
  <c r="B41" i="5"/>
  <c r="I39" i="5" l="1"/>
  <c r="Q39" i="5"/>
  <c r="G41" i="5"/>
  <c r="O41" i="5"/>
  <c r="B42" i="5"/>
  <c r="A43" i="5"/>
  <c r="C42" i="5"/>
  <c r="P40" i="5"/>
  <c r="N40" i="5"/>
  <c r="H40" i="5"/>
  <c r="F40" i="5"/>
  <c r="I40" i="5" l="1"/>
  <c r="P41" i="5"/>
  <c r="N41" i="5"/>
  <c r="Q41" i="5" s="1"/>
  <c r="C43" i="5"/>
  <c r="A44" i="5"/>
  <c r="B43" i="5"/>
  <c r="H41" i="5"/>
  <c r="F41" i="5"/>
  <c r="Q40" i="5"/>
  <c r="O42" i="5"/>
  <c r="G42" i="5"/>
  <c r="I41" i="5" l="1"/>
  <c r="P42" i="5"/>
  <c r="N42" i="5"/>
  <c r="A45" i="5"/>
  <c r="C44" i="5"/>
  <c r="B44" i="5"/>
  <c r="H42" i="5"/>
  <c r="F42" i="5"/>
  <c r="O43" i="5"/>
  <c r="G43" i="5"/>
  <c r="Q42" i="5" l="1"/>
  <c r="I42" i="5"/>
  <c r="H43" i="5"/>
  <c r="F43" i="5"/>
  <c r="P43" i="5"/>
  <c r="N43" i="5"/>
  <c r="G44" i="5"/>
  <c r="O44" i="5"/>
  <c r="B45" i="5"/>
  <c r="A46" i="5"/>
  <c r="C45" i="5"/>
  <c r="I43" i="5" l="1"/>
  <c r="H44" i="5"/>
  <c r="F44" i="5"/>
  <c r="B46" i="5"/>
  <c r="A47" i="5"/>
  <c r="C46" i="5"/>
  <c r="O45" i="5"/>
  <c r="G45" i="5"/>
  <c r="Q43" i="5"/>
  <c r="P44" i="5"/>
  <c r="N44" i="5"/>
  <c r="I44" i="5" l="1"/>
  <c r="Q44" i="5"/>
  <c r="C47" i="5"/>
  <c r="A48" i="5"/>
  <c r="B47" i="5"/>
  <c r="H45" i="5"/>
  <c r="F45" i="5"/>
  <c r="P45" i="5"/>
  <c r="N45" i="5"/>
  <c r="O46" i="5"/>
  <c r="G46" i="5"/>
  <c r="Q45" i="5" l="1"/>
  <c r="I45" i="5"/>
  <c r="B48" i="5"/>
  <c r="A49" i="5"/>
  <c r="C48" i="5"/>
  <c r="O47" i="5"/>
  <c r="G47" i="5"/>
  <c r="P46" i="5"/>
  <c r="N46" i="5"/>
  <c r="H46" i="5"/>
  <c r="F46" i="5"/>
  <c r="Q46" i="5" l="1"/>
  <c r="I46" i="5"/>
  <c r="P47" i="5"/>
  <c r="N47" i="5"/>
  <c r="Q47" i="5" s="1"/>
  <c r="O48" i="5"/>
  <c r="G48" i="5"/>
  <c r="C49" i="5"/>
  <c r="A50" i="5"/>
  <c r="B49" i="5"/>
  <c r="H47" i="5"/>
  <c r="F47" i="5"/>
  <c r="I47" i="5" s="1"/>
  <c r="P48" i="5" l="1"/>
  <c r="N48" i="5"/>
  <c r="B50" i="5"/>
  <c r="A51" i="5"/>
  <c r="C50" i="5"/>
  <c r="H48" i="5"/>
  <c r="F48" i="5"/>
  <c r="O49" i="5"/>
  <c r="G49" i="5"/>
  <c r="I48" i="5" l="1"/>
  <c r="Q48" i="5"/>
  <c r="P49" i="5"/>
  <c r="N49" i="5"/>
  <c r="G50" i="5"/>
  <c r="O50" i="5"/>
  <c r="B51" i="5"/>
  <c r="C51" i="5"/>
  <c r="A52" i="5"/>
  <c r="H49" i="5"/>
  <c r="F49" i="5"/>
  <c r="Q49" i="5" l="1"/>
  <c r="P50" i="5"/>
  <c r="N50" i="5"/>
  <c r="H50" i="5"/>
  <c r="F50" i="5"/>
  <c r="A53" i="5"/>
  <c r="C52" i="5"/>
  <c r="B52" i="5"/>
  <c r="O51" i="5"/>
  <c r="G51" i="5"/>
  <c r="I49" i="5"/>
  <c r="Q50" i="5" l="1"/>
  <c r="I50" i="5"/>
  <c r="B53" i="5"/>
  <c r="A54" i="5"/>
  <c r="C53" i="5"/>
  <c r="H51" i="5"/>
  <c r="F51" i="5"/>
  <c r="G52" i="5"/>
  <c r="O52" i="5"/>
  <c r="P51" i="5"/>
  <c r="N51" i="5"/>
  <c r="Q51" i="5" s="1"/>
  <c r="O53" i="5" l="1"/>
  <c r="G53" i="5"/>
  <c r="H52" i="5"/>
  <c r="F52" i="5"/>
  <c r="A55" i="5"/>
  <c r="C54" i="5"/>
  <c r="B54" i="5"/>
  <c r="P52" i="5"/>
  <c r="N52" i="5"/>
  <c r="I51" i="5"/>
  <c r="Q52" i="5" l="1"/>
  <c r="G54" i="5"/>
  <c r="O54" i="5"/>
  <c r="H53" i="5"/>
  <c r="F53" i="5"/>
  <c r="I52" i="5"/>
  <c r="P53" i="5"/>
  <c r="N53" i="5"/>
  <c r="C55" i="5"/>
  <c r="A56" i="5"/>
  <c r="B55" i="5"/>
  <c r="I53" i="5" l="1"/>
  <c r="H54" i="5"/>
  <c r="F54" i="5"/>
  <c r="B56" i="5"/>
  <c r="A57" i="5"/>
  <c r="C56" i="5"/>
  <c r="O55" i="5"/>
  <c r="G55" i="5"/>
  <c r="Q53" i="5"/>
  <c r="P54" i="5"/>
  <c r="N54" i="5"/>
  <c r="Q54" i="5" s="1"/>
  <c r="I54" i="5" l="1"/>
  <c r="H55" i="5"/>
  <c r="F55" i="5"/>
  <c r="I55" i="5" s="1"/>
  <c r="C57" i="5"/>
  <c r="A58" i="5"/>
  <c r="B57" i="5"/>
  <c r="P55" i="5"/>
  <c r="N55" i="5"/>
  <c r="O56" i="5"/>
  <c r="G56" i="5"/>
  <c r="O57" i="5" l="1"/>
  <c r="G57" i="5"/>
  <c r="Q55" i="5"/>
  <c r="B58" i="5"/>
  <c r="A59" i="5"/>
  <c r="C58" i="5"/>
  <c r="P56" i="5"/>
  <c r="N56" i="5"/>
  <c r="Q56" i="5" s="1"/>
  <c r="H56" i="5"/>
  <c r="F56" i="5"/>
  <c r="H57" i="5" l="1"/>
  <c r="F57" i="5"/>
  <c r="I57" i="5" s="1"/>
  <c r="A60" i="5"/>
  <c r="B59" i="5"/>
  <c r="C59" i="5"/>
  <c r="I56" i="5"/>
  <c r="P57" i="5"/>
  <c r="N57" i="5"/>
  <c r="G58" i="5"/>
  <c r="O58" i="5"/>
  <c r="Q57" i="5" l="1"/>
  <c r="H58" i="5"/>
  <c r="F58" i="5"/>
  <c r="C60" i="5"/>
  <c r="B60" i="5"/>
  <c r="A61" i="5"/>
  <c r="P58" i="5"/>
  <c r="N58" i="5"/>
  <c r="O59" i="5"/>
  <c r="G59" i="5"/>
  <c r="A62" i="5" l="1"/>
  <c r="C61" i="5"/>
  <c r="B61" i="5"/>
  <c r="Q58" i="5"/>
  <c r="I58" i="5"/>
  <c r="P59" i="5"/>
  <c r="N59" i="5"/>
  <c r="G60" i="5"/>
  <c r="O60" i="5"/>
  <c r="H59" i="5"/>
  <c r="F59" i="5"/>
  <c r="Q59" i="5" l="1"/>
  <c r="G61" i="5"/>
  <c r="O61" i="5"/>
  <c r="P60" i="5"/>
  <c r="N60" i="5"/>
  <c r="H60" i="5"/>
  <c r="F60" i="5"/>
  <c r="I60" i="5" s="1"/>
  <c r="A63" i="5"/>
  <c r="B62" i="5"/>
  <c r="C62" i="5"/>
  <c r="I59" i="5"/>
  <c r="Q60" i="5" l="1"/>
  <c r="G62" i="5"/>
  <c r="O62" i="5"/>
  <c r="H61" i="5"/>
  <c r="F61" i="5"/>
  <c r="A64" i="5"/>
  <c r="B63" i="5"/>
  <c r="C63" i="5"/>
  <c r="P61" i="5"/>
  <c r="N61" i="5"/>
  <c r="H62" i="5" l="1"/>
  <c r="F62" i="5"/>
  <c r="I62" i="5" s="1"/>
  <c r="Q61" i="5"/>
  <c r="B64" i="5"/>
  <c r="C64" i="5"/>
  <c r="A65" i="5"/>
  <c r="G63" i="5"/>
  <c r="O63" i="5"/>
  <c r="I61" i="5"/>
  <c r="P62" i="5"/>
  <c r="N62" i="5"/>
  <c r="H63" i="5" l="1"/>
  <c r="F63" i="5"/>
  <c r="I63" i="5" s="1"/>
  <c r="A66" i="5"/>
  <c r="C65" i="5"/>
  <c r="B65" i="5"/>
  <c r="Q62" i="5"/>
  <c r="G64" i="5"/>
  <c r="O64" i="5"/>
  <c r="P63" i="5"/>
  <c r="N63" i="5"/>
  <c r="G65" i="5" l="1"/>
  <c r="O65" i="5"/>
  <c r="P64" i="5"/>
  <c r="N64" i="5"/>
  <c r="C66" i="5"/>
  <c r="B66" i="5"/>
  <c r="A67" i="5"/>
  <c r="H64" i="5"/>
  <c r="F64" i="5"/>
  <c r="I64" i="5" s="1"/>
  <c r="Q63" i="5"/>
  <c r="Q64" i="5" l="1"/>
  <c r="G66" i="5"/>
  <c r="O66" i="5"/>
  <c r="A68" i="5"/>
  <c r="C67" i="5"/>
  <c r="B67" i="5"/>
  <c r="H65" i="5"/>
  <c r="F65" i="5"/>
  <c r="P65" i="5"/>
  <c r="N65" i="5"/>
  <c r="Q65" i="5" s="1"/>
  <c r="I65" i="5" l="1"/>
  <c r="P66" i="5"/>
  <c r="N66" i="5"/>
  <c r="G67" i="5"/>
  <c r="O67" i="5"/>
  <c r="A69" i="5"/>
  <c r="B68" i="5"/>
  <c r="C68" i="5"/>
  <c r="H66" i="5"/>
  <c r="F66" i="5"/>
  <c r="Q66" i="5" l="1"/>
  <c r="I66" i="5"/>
  <c r="H67" i="5"/>
  <c r="F67" i="5"/>
  <c r="C69" i="5"/>
  <c r="A70" i="5"/>
  <c r="B69" i="5"/>
  <c r="G68" i="5"/>
  <c r="O68" i="5"/>
  <c r="P67" i="5"/>
  <c r="N67" i="5"/>
  <c r="Q67" i="5" l="1"/>
  <c r="I67" i="5"/>
  <c r="G69" i="5"/>
  <c r="O69" i="5"/>
  <c r="B70" i="5"/>
  <c r="C70" i="5"/>
  <c r="A71" i="5"/>
  <c r="H68" i="5"/>
  <c r="F68" i="5"/>
  <c r="P68" i="5"/>
  <c r="N68" i="5"/>
  <c r="Q68" i="5" l="1"/>
  <c r="P69" i="5"/>
  <c r="N69" i="5"/>
  <c r="I68" i="5"/>
  <c r="O70" i="5"/>
  <c r="G70" i="5"/>
  <c r="H69" i="5"/>
  <c r="F69" i="5"/>
  <c r="C71" i="5"/>
  <c r="B71" i="5"/>
  <c r="Q69" i="5" l="1"/>
  <c r="I69" i="5"/>
  <c r="P70" i="5"/>
  <c r="N70" i="5"/>
  <c r="O71" i="5"/>
  <c r="G71" i="5"/>
  <c r="H70" i="5"/>
  <c r="F70" i="5"/>
  <c r="I70" i="5" s="1"/>
  <c r="Q70" i="5" l="1"/>
  <c r="H71" i="5"/>
  <c r="F71" i="5"/>
  <c r="P71" i="5"/>
  <c r="N71" i="5"/>
  <c r="Q71" i="5" s="1"/>
  <c r="Q4" i="5" s="1"/>
  <c r="I71" i="5" l="1"/>
  <c r="I4" i="5" s="1"/>
</calcChain>
</file>

<file path=xl/sharedStrings.xml><?xml version="1.0" encoding="utf-8"?>
<sst xmlns="http://schemas.openxmlformats.org/spreadsheetml/2006/main" count="205" uniqueCount="78">
  <si>
    <t>Parameters</t>
  </si>
  <si>
    <t>Term Assurance</t>
  </si>
  <si>
    <t>Average age</t>
  </si>
  <si>
    <t>Sex</t>
  </si>
  <si>
    <t>Number of policies</t>
  </si>
  <si>
    <t>Average benefit amount USD</t>
  </si>
  <si>
    <t>Male</t>
  </si>
  <si>
    <t>Female</t>
  </si>
  <si>
    <t>Starting year</t>
  </si>
  <si>
    <t>Term</t>
  </si>
  <si>
    <t>Annuity</t>
  </si>
  <si>
    <t>Current age</t>
  </si>
  <si>
    <t>Starting pension age</t>
  </si>
  <si>
    <t>Number of annuities sold</t>
  </si>
  <si>
    <t>Males</t>
  </si>
  <si>
    <t>Females</t>
  </si>
  <si>
    <t>Maximum age</t>
  </si>
  <si>
    <t>Critical Illness</t>
  </si>
  <si>
    <t>Number of policies sold</t>
  </si>
  <si>
    <t>Assumed benefit amount</t>
  </si>
  <si>
    <t>Discount rate</t>
  </si>
  <si>
    <t>Expenses</t>
  </si>
  <si>
    <t>Stress scenarios</t>
  </si>
  <si>
    <t>increase in mortality rates</t>
  </si>
  <si>
    <t>decrease in mortality rates</t>
  </si>
  <si>
    <t>increase in incidence</t>
  </si>
  <si>
    <t>increase in expenses</t>
  </si>
  <si>
    <t>Diversification factors</t>
  </si>
  <si>
    <t>Current factors</t>
  </si>
  <si>
    <t>Term assurance</t>
  </si>
  <si>
    <t>Critical illness</t>
  </si>
  <si>
    <t>Mortality tables</t>
  </si>
  <si>
    <t>Base</t>
  </si>
  <si>
    <t>Stressed - annuity</t>
  </si>
  <si>
    <t>Age</t>
  </si>
  <si>
    <t>Male mortality rate</t>
  </si>
  <si>
    <t>Female mortality rate</t>
  </si>
  <si>
    <t>Provided</t>
  </si>
  <si>
    <t>Age Exact x</t>
  </si>
  <si>
    <t>Term assurance policies</t>
  </si>
  <si>
    <t>Stressed scenario</t>
  </si>
  <si>
    <t>Number policies</t>
  </si>
  <si>
    <t>NPV</t>
  </si>
  <si>
    <t>Average benefit amount</t>
  </si>
  <si>
    <t>Year/Starting age</t>
  </si>
  <si>
    <t>EXPENSES</t>
  </si>
  <si>
    <t>Annuity policies</t>
  </si>
  <si>
    <t>Stressed</t>
  </si>
  <si>
    <t>Year</t>
  </si>
  <si>
    <t>Male age</t>
  </si>
  <si>
    <t>Female age</t>
  </si>
  <si>
    <t>Males inforce</t>
  </si>
  <si>
    <t>Females inforce</t>
  </si>
  <si>
    <t>Male annuity payments</t>
  </si>
  <si>
    <t>Female annuity payments</t>
  </si>
  <si>
    <t>Critical Illness policies</t>
  </si>
  <si>
    <t xml:space="preserve">Males </t>
  </si>
  <si>
    <t>Inforce - males</t>
  </si>
  <si>
    <t>Inforce - females</t>
  </si>
  <si>
    <t>Difference</t>
  </si>
  <si>
    <t>Capital requirements</t>
  </si>
  <si>
    <t>Term Assurance only</t>
  </si>
  <si>
    <t>Stress result</t>
  </si>
  <si>
    <t>Ratio</t>
  </si>
  <si>
    <t>Diversification factor</t>
  </si>
  <si>
    <t>Total outgo</t>
  </si>
  <si>
    <t>NPV outgo</t>
  </si>
  <si>
    <t>Inforce probability</t>
  </si>
  <si>
    <t>Expected benefits</t>
  </si>
  <si>
    <t>Minimum Capital Requirement</t>
  </si>
  <si>
    <t>Outgo + Minimum Capital Requirement</t>
  </si>
  <si>
    <t>Stressed - Term assurance</t>
  </si>
  <si>
    <t>Annuity payment amount per policyholder</t>
  </si>
  <si>
    <t>Critical illness morbidity tables</t>
  </si>
  <si>
    <t>Expected net present outgo</t>
  </si>
  <si>
    <t>Per policy expenses p.a.</t>
  </si>
  <si>
    <t>Expected benefit amounts</t>
  </si>
  <si>
    <t>Aj factor for max Xj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</si>
</sst>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_-[$$-409]* #,##0_ ;_-[$$-409]* \-#,##0\ ;_-[$$-409]* &quot;-&quot;??_ ;_-@_ "/>
    <numFmt numFmtId="167" formatCode="0.00000"/>
    <numFmt numFmtId="168" formatCode="_(* #,##0.00_);_(* \(#,##0.00\);_(* &quot;-&quot;??_);_(@_)"/>
    <numFmt numFmtId="169" formatCode="_-* #,##0.000_-;\-* #,##0.000_-;_-* &quot;-&quot;??_-;_-@_-"/>
    <numFmt numFmtId="170" formatCode="0.0%"/>
    <numFmt numFmtId="171" formatCode="_-* #,##0.0000_-;\-* #,##0.0000_-;_-* &quot;-&quot;??_-;_-@_-"/>
    <numFmt numFmtId="172" formatCode="_-* #,##0.00000_-;\-* #,##0.00000_-;_-* &quot;-&quot;??_-;_-@_-"/>
    <numFmt numFmtId="173" formatCode="_-* #,##0.000000_-;\-* #,##0.000000_-;_-* &quot;-&quot;??_-;_-@_-"/>
  </numFmts>
  <fonts count="11">
    <font>
      <sz val="11"/>
      <color theme="1"/>
      <name val="Calibri"/>
      <scheme val="minor"/>
    </font>
    <font>
      <sz val="11"/>
      <color theme="1"/>
      <name val="SwissReSans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indexed="64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indexed="5"/>
        <bgColor indexed="5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C000"/>
      </patternFill>
    </fill>
    <fill>
      <patternFill patternType="solid">
        <fgColor theme="0"/>
        <bgColor indexed="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2">
    <xf numFmtId="0" fontId="0" fillId="0" borderId="0"/>
    <xf numFmtId="43" fontId="1" fillId="0" borderId="0"/>
    <xf numFmtId="43" fontId="2" fillId="0" borderId="0"/>
    <xf numFmtId="43" fontId="2" fillId="0" borderId="0"/>
    <xf numFmtId="43" fontId="2" fillId="0" borderId="0"/>
    <xf numFmtId="43" fontId="1" fillId="0" borderId="0"/>
    <xf numFmtId="164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8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5" fillId="0" borderId="0"/>
    <xf numFmtId="9" fontId="2" fillId="0" borderId="0"/>
    <xf numFmtId="9" fontId="1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</cellStyleXfs>
  <cellXfs count="121">
    <xf numFmtId="0" fontId="0" fillId="0" borderId="0" xfId="0"/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65" fontId="0" fillId="0" borderId="4" xfId="1" applyNumberFormat="1" applyFont="1" applyBorder="1" applyAlignment="1">
      <alignment vertical="center" wrapText="1"/>
    </xf>
    <xf numFmtId="165" fontId="0" fillId="0" borderId="0" xfId="1" applyNumberFormat="1" applyFont="1"/>
    <xf numFmtId="9" fontId="0" fillId="0" borderId="0" xfId="0" applyNumberFormat="1"/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9" fontId="0" fillId="0" borderId="5" xfId="0" applyNumberFormat="1" applyBorder="1" applyAlignment="1">
      <alignment vertical="center" wrapText="1"/>
    </xf>
    <xf numFmtId="0" fontId="0" fillId="0" borderId="5" xfId="0" applyBorder="1"/>
    <xf numFmtId="9" fontId="0" fillId="0" borderId="5" xfId="0" applyNumberFormat="1" applyBorder="1"/>
    <xf numFmtId="166" fontId="0" fillId="0" borderId="0" xfId="0" applyNumberFormat="1"/>
    <xf numFmtId="0" fontId="0" fillId="0" borderId="0" xfId="0" applyAlignment="1">
      <alignment wrapText="1"/>
    </xf>
    <xf numFmtId="167" fontId="4" fillId="0" borderId="0" xfId="57" applyNumberFormat="1" applyFont="1" applyAlignment="1">
      <alignment horizontal="center"/>
    </xf>
    <xf numFmtId="0" fontId="6" fillId="0" borderId="6" xfId="0" applyFont="1" applyBorder="1"/>
    <xf numFmtId="165" fontId="1" fillId="0" borderId="3" xfId="1" applyNumberFormat="1" applyFont="1" applyBorder="1"/>
    <xf numFmtId="165" fontId="0" fillId="0" borderId="0" xfId="0" applyNumberFormat="1"/>
    <xf numFmtId="165" fontId="0" fillId="0" borderId="3" xfId="0" applyNumberFormat="1" applyBorder="1" applyAlignment="1">
      <alignment vertical="center" wrapText="1"/>
    </xf>
    <xf numFmtId="9" fontId="8" fillId="0" borderId="1" xfId="70" applyNumberFormat="1" applyBorder="1"/>
    <xf numFmtId="165" fontId="0" fillId="0" borderId="1" xfId="1" applyNumberFormat="1" applyFont="1" applyBorder="1"/>
    <xf numFmtId="165" fontId="0" fillId="0" borderId="1" xfId="0" applyNumberFormat="1" applyBorder="1"/>
    <xf numFmtId="0" fontId="0" fillId="0" borderId="1" xfId="0" applyBorder="1"/>
    <xf numFmtId="170" fontId="8" fillId="0" borderId="1" xfId="70" applyNumberFormat="1" applyBorder="1"/>
    <xf numFmtId="0" fontId="9" fillId="0" borderId="0" xfId="0" applyFont="1"/>
    <xf numFmtId="0" fontId="0" fillId="0" borderId="0" xfId="0" applyBorder="1"/>
    <xf numFmtId="9" fontId="0" fillId="0" borderId="0" xfId="0" applyNumberFormat="1" applyBorder="1"/>
    <xf numFmtId="0" fontId="8" fillId="0" borderId="0" xfId="0" applyFont="1"/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0" fillId="0" borderId="7" xfId="0" applyBorder="1"/>
    <xf numFmtId="0" fontId="8" fillId="0" borderId="7" xfId="0" applyFont="1" applyBorder="1" applyAlignment="1">
      <alignment wrapText="1"/>
    </xf>
    <xf numFmtId="165" fontId="0" fillId="0" borderId="7" xfId="1" applyNumberFormat="1" applyFont="1" applyBorder="1"/>
    <xf numFmtId="0" fontId="0" fillId="0" borderId="0" xfId="0" applyFill="1"/>
    <xf numFmtId="0" fontId="0" fillId="0" borderId="0" xfId="0" applyFill="1" applyAlignment="1">
      <alignment wrapText="1"/>
    </xf>
    <xf numFmtId="165" fontId="0" fillId="0" borderId="0" xfId="1" applyNumberFormat="1" applyFont="1" applyFill="1"/>
    <xf numFmtId="165" fontId="0" fillId="3" borderId="7" xfId="1" applyNumberFormat="1" applyFont="1" applyFill="1" applyBorder="1"/>
    <xf numFmtId="0" fontId="0" fillId="0" borderId="8" xfId="0" applyBorder="1" applyAlignment="1">
      <alignment wrapText="1"/>
    </xf>
    <xf numFmtId="0" fontId="0" fillId="0" borderId="8" xfId="0" applyFill="1" applyBorder="1" applyAlignment="1">
      <alignment wrapText="1"/>
    </xf>
    <xf numFmtId="0" fontId="0" fillId="2" borderId="8" xfId="0" applyFill="1" applyBorder="1" applyAlignment="1">
      <alignment wrapText="1"/>
    </xf>
    <xf numFmtId="165" fontId="0" fillId="0" borderId="0" xfId="0" applyNumberFormat="1" applyFill="1"/>
    <xf numFmtId="172" fontId="0" fillId="0" borderId="0" xfId="1" applyNumberFormat="1" applyFont="1"/>
    <xf numFmtId="172" fontId="0" fillId="0" borderId="0" xfId="0" applyNumberFormat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0" fillId="0" borderId="0" xfId="0" applyBorder="1" applyAlignment="1">
      <alignment horizontal="right" vertical="center" wrapText="1"/>
    </xf>
    <xf numFmtId="9" fontId="0" fillId="0" borderId="0" xfId="0" applyNumberFormat="1" applyBorder="1" applyAlignment="1">
      <alignment vertical="center" wrapText="1"/>
    </xf>
    <xf numFmtId="43" fontId="0" fillId="0" borderId="7" xfId="0" applyNumberFormat="1" applyBorder="1"/>
    <xf numFmtId="43" fontId="0" fillId="0" borderId="0" xfId="0" applyNumberFormat="1"/>
    <xf numFmtId="165" fontId="0" fillId="6" borderId="7" xfId="1" applyNumberFormat="1" applyFont="1" applyFill="1" applyBorder="1"/>
    <xf numFmtId="0" fontId="10" fillId="0" borderId="11" xfId="0" applyFont="1" applyBorder="1"/>
    <xf numFmtId="0" fontId="0" fillId="0" borderId="12" xfId="0" applyBorder="1"/>
    <xf numFmtId="0" fontId="0" fillId="0" borderId="13" xfId="0" applyBorder="1"/>
    <xf numFmtId="165" fontId="0" fillId="0" borderId="0" xfId="1" applyNumberFormat="1" applyFont="1" applyBorder="1" applyAlignment="1">
      <alignment wrapText="1"/>
    </xf>
    <xf numFmtId="165" fontId="0" fillId="0" borderId="14" xfId="1" applyNumberFormat="1" applyFont="1" applyBorder="1" applyAlignment="1">
      <alignment wrapText="1"/>
    </xf>
    <xf numFmtId="0" fontId="0" fillId="4" borderId="13" xfId="0" applyFill="1" applyBorder="1"/>
    <xf numFmtId="0" fontId="0" fillId="3" borderId="0" xfId="0" applyFill="1" applyBorder="1"/>
    <xf numFmtId="165" fontId="0" fillId="0" borderId="0" xfId="1" applyNumberFormat="1" applyFont="1" applyBorder="1"/>
    <xf numFmtId="165" fontId="0" fillId="0" borderId="14" xfId="1" applyNumberFormat="1" applyFont="1" applyBorder="1"/>
    <xf numFmtId="0" fontId="0" fillId="0" borderId="13" xfId="0" applyFill="1" applyBorder="1"/>
    <xf numFmtId="167" fontId="0" fillId="0" borderId="0" xfId="0" applyNumberFormat="1" applyBorder="1"/>
    <xf numFmtId="0" fontId="0" fillId="0" borderId="15" xfId="0" applyBorder="1"/>
    <xf numFmtId="0" fontId="0" fillId="0" borderId="16" xfId="0" applyBorder="1"/>
    <xf numFmtId="165" fontId="0" fillId="0" borderId="16" xfId="1" applyNumberFormat="1" applyFont="1" applyBorder="1"/>
    <xf numFmtId="165" fontId="0" fillId="0" borderId="4" xfId="1" applyNumberFormat="1" applyFont="1" applyBorder="1"/>
    <xf numFmtId="0" fontId="0" fillId="0" borderId="0" xfId="0" applyBorder="1" applyAlignment="1">
      <alignment wrapText="1"/>
    </xf>
    <xf numFmtId="0" fontId="0" fillId="0" borderId="14" xfId="0" applyBorder="1" applyAlignment="1">
      <alignment wrapText="1"/>
    </xf>
    <xf numFmtId="165" fontId="0" fillId="0" borderId="14" xfId="0" applyNumberFormat="1" applyBorder="1"/>
    <xf numFmtId="165" fontId="0" fillId="0" borderId="4" xfId="0" applyNumberFormat="1" applyBorder="1"/>
    <xf numFmtId="0" fontId="0" fillId="3" borderId="13" xfId="0" applyFill="1" applyBorder="1"/>
    <xf numFmtId="43" fontId="0" fillId="5" borderId="0" xfId="1" applyNumberFormat="1" applyFont="1" applyFill="1" applyBorder="1"/>
    <xf numFmtId="169" fontId="0" fillId="0" borderId="0" xfId="1" applyNumberFormat="1" applyFont="1" applyBorder="1"/>
    <xf numFmtId="169" fontId="0" fillId="0" borderId="16" xfId="1" applyNumberFormat="1" applyFont="1" applyBorder="1"/>
    <xf numFmtId="168" fontId="0" fillId="5" borderId="0" xfId="1" applyNumberFormat="1" applyFont="1" applyFill="1" applyBorder="1"/>
    <xf numFmtId="0" fontId="0" fillId="0" borderId="17" xfId="0" applyBorder="1"/>
    <xf numFmtId="0" fontId="8" fillId="0" borderId="12" xfId="0" applyFont="1" applyBorder="1"/>
    <xf numFmtId="0" fontId="8" fillId="0" borderId="17" xfId="0" applyFont="1" applyBorder="1"/>
    <xf numFmtId="0" fontId="0" fillId="0" borderId="12" xfId="0" applyFill="1" applyBorder="1"/>
    <xf numFmtId="0" fontId="0" fillId="0" borderId="18" xfId="0" applyBorder="1"/>
    <xf numFmtId="0" fontId="0" fillId="0" borderId="13" xfId="0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4" borderId="0" xfId="0" applyFill="1" applyBorder="1"/>
    <xf numFmtId="165" fontId="0" fillId="4" borderId="0" xfId="1" applyNumberFormat="1" applyFont="1" applyFill="1" applyBorder="1"/>
    <xf numFmtId="165" fontId="0" fillId="2" borderId="0" xfId="1" applyNumberFormat="1" applyFont="1" applyFill="1" applyBorder="1"/>
    <xf numFmtId="171" fontId="8" fillId="0" borderId="0" xfId="1" applyNumberFormat="1" applyFont="1" applyBorder="1"/>
    <xf numFmtId="171" fontId="8" fillId="0" borderId="16" xfId="1" applyNumberFormat="1" applyFont="1" applyBorder="1"/>
    <xf numFmtId="165" fontId="0" fillId="0" borderId="21" xfId="1" applyNumberFormat="1" applyFont="1" applyBorder="1"/>
    <xf numFmtId="165" fontId="0" fillId="3" borderId="21" xfId="1" applyNumberFormat="1" applyFont="1" applyFill="1" applyBorder="1"/>
    <xf numFmtId="165" fontId="0" fillId="2" borderId="16" xfId="1" applyNumberFormat="1" applyFont="1" applyFill="1" applyBorder="1"/>
    <xf numFmtId="165" fontId="0" fillId="6" borderId="21" xfId="1" applyNumberFormat="1" applyFont="1" applyFill="1" applyBorder="1"/>
    <xf numFmtId="0" fontId="6" fillId="0" borderId="7" xfId="0" applyFont="1" applyBorder="1"/>
    <xf numFmtId="167" fontId="4" fillId="0" borderId="7" xfId="57" applyNumberFormat="1" applyFont="1" applyBorder="1" applyAlignment="1">
      <alignment horizontal="center"/>
    </xf>
    <xf numFmtId="0" fontId="7" fillId="0" borderId="7" xfId="57" applyFont="1" applyBorder="1" applyAlignment="1">
      <alignment horizontal="center" wrapText="1"/>
    </xf>
    <xf numFmtId="0" fontId="7" fillId="0" borderId="7" xfId="57" applyFont="1" applyBorder="1" applyAlignment="1">
      <alignment horizontal="center"/>
    </xf>
    <xf numFmtId="0" fontId="8" fillId="0" borderId="7" xfId="0" applyFont="1" applyBorder="1"/>
    <xf numFmtId="173" fontId="8" fillId="0" borderId="0" xfId="1" applyNumberFormat="1" applyFont="1"/>
    <xf numFmtId="0" fontId="8" fillId="0" borderId="0" xfId="0" applyFont="1" applyBorder="1"/>
    <xf numFmtId="173" fontId="8" fillId="0" borderId="7" xfId="1" applyNumberFormat="1" applyFont="1" applyBorder="1"/>
    <xf numFmtId="0" fontId="8" fillId="0" borderId="22" xfId="0" applyFont="1" applyBorder="1"/>
    <xf numFmtId="0" fontId="8" fillId="0" borderId="22" xfId="0" applyFont="1" applyBorder="1" applyAlignment="1">
      <alignment wrapText="1"/>
    </xf>
    <xf numFmtId="173" fontId="8" fillId="0" borderId="22" xfId="1" applyNumberFormat="1" applyFont="1" applyBorder="1"/>
    <xf numFmtId="0" fontId="8" fillId="0" borderId="0" xfId="0" applyFont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12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3" xfId="5" xr:uid="{00000000-0005-0000-0000-000004000000}"/>
    <cellStyle name="Euro" xfId="6" xr:uid="{00000000-0005-0000-0000-000005000000}"/>
    <cellStyle name="Hyperlink 2" xfId="7" xr:uid="{00000000-0005-0000-0000-000006000000}"/>
    <cellStyle name="Normal" xfId="0" builtinId="0"/>
    <cellStyle name="Normal 10" xfId="8" xr:uid="{00000000-0005-0000-0000-000008000000}"/>
    <cellStyle name="Normal 10 2" xfId="9" xr:uid="{00000000-0005-0000-0000-000009000000}"/>
    <cellStyle name="Normal 10 3" xfId="10" xr:uid="{00000000-0005-0000-0000-00000A000000}"/>
    <cellStyle name="Normal 10 4" xfId="11" xr:uid="{00000000-0005-0000-0000-00000B000000}"/>
    <cellStyle name="Normal 10 5" xfId="12" xr:uid="{00000000-0005-0000-0000-00000C000000}"/>
    <cellStyle name="Normal 10 6" xfId="13" xr:uid="{00000000-0005-0000-0000-00000D000000}"/>
    <cellStyle name="Normal 10 7" xfId="14" xr:uid="{00000000-0005-0000-0000-00000E000000}"/>
    <cellStyle name="Normal 10 8" xfId="15" xr:uid="{00000000-0005-0000-0000-00000F000000}"/>
    <cellStyle name="Normal 11" xfId="16" xr:uid="{00000000-0005-0000-0000-000010000000}"/>
    <cellStyle name="Normal 17" xfId="17" xr:uid="{00000000-0005-0000-0000-000011000000}"/>
    <cellStyle name="Normal 17 2" xfId="18" xr:uid="{00000000-0005-0000-0000-000012000000}"/>
    <cellStyle name="Normal 17 3" xfId="19" xr:uid="{00000000-0005-0000-0000-000013000000}"/>
    <cellStyle name="Normal 17 4" xfId="20" xr:uid="{00000000-0005-0000-0000-000014000000}"/>
    <cellStyle name="Normal 17 5" xfId="21" xr:uid="{00000000-0005-0000-0000-000015000000}"/>
    <cellStyle name="Normal 17 6" xfId="22" xr:uid="{00000000-0005-0000-0000-000016000000}"/>
    <cellStyle name="Normal 18" xfId="23" xr:uid="{00000000-0005-0000-0000-000017000000}"/>
    <cellStyle name="Normal 18 2" xfId="24" xr:uid="{00000000-0005-0000-0000-000018000000}"/>
    <cellStyle name="Normal 18 3" xfId="25" xr:uid="{00000000-0005-0000-0000-000019000000}"/>
    <cellStyle name="Normal 18 4" xfId="26" xr:uid="{00000000-0005-0000-0000-00001A000000}"/>
    <cellStyle name="Normal 18 5" xfId="27" xr:uid="{00000000-0005-0000-0000-00001B000000}"/>
    <cellStyle name="Normal 18 6" xfId="28" xr:uid="{00000000-0005-0000-0000-00001C000000}"/>
    <cellStyle name="Normal 2" xfId="29" xr:uid="{00000000-0005-0000-0000-00001D000000}"/>
    <cellStyle name="Normal 2 2" xfId="30" xr:uid="{00000000-0005-0000-0000-00001E000000}"/>
    <cellStyle name="Normal 2 3" xfId="31" xr:uid="{00000000-0005-0000-0000-00001F000000}"/>
    <cellStyle name="Normal 2 4" xfId="32" xr:uid="{00000000-0005-0000-0000-000020000000}"/>
    <cellStyle name="Normal 2 5" xfId="33" xr:uid="{00000000-0005-0000-0000-000021000000}"/>
    <cellStyle name="Normal 2 6" xfId="34" xr:uid="{00000000-0005-0000-0000-000022000000}"/>
    <cellStyle name="Normal 2 7" xfId="35" xr:uid="{00000000-0005-0000-0000-000023000000}"/>
    <cellStyle name="Normal 2 8" xfId="36" xr:uid="{00000000-0005-0000-0000-000024000000}"/>
    <cellStyle name="Normal 22 2" xfId="37" xr:uid="{00000000-0005-0000-0000-000025000000}"/>
    <cellStyle name="Normal 22 3" xfId="38" xr:uid="{00000000-0005-0000-0000-000026000000}"/>
    <cellStyle name="Normal 22 4" xfId="39" xr:uid="{00000000-0005-0000-0000-000027000000}"/>
    <cellStyle name="Normal 22 5" xfId="40" xr:uid="{00000000-0005-0000-0000-000028000000}"/>
    <cellStyle name="Normal 22 6" xfId="41" xr:uid="{00000000-0005-0000-0000-000029000000}"/>
    <cellStyle name="Normal 23 2" xfId="42" xr:uid="{00000000-0005-0000-0000-00002A000000}"/>
    <cellStyle name="Normal 23 3" xfId="43" xr:uid="{00000000-0005-0000-0000-00002B000000}"/>
    <cellStyle name="Normal 23 4" xfId="44" xr:uid="{00000000-0005-0000-0000-00002C000000}"/>
    <cellStyle name="Normal 23 5" xfId="45" xr:uid="{00000000-0005-0000-0000-00002D000000}"/>
    <cellStyle name="Normal 23 6" xfId="46" xr:uid="{00000000-0005-0000-0000-00002E000000}"/>
    <cellStyle name="Normal 24 2" xfId="47" xr:uid="{00000000-0005-0000-0000-00002F000000}"/>
    <cellStyle name="Normal 24 3" xfId="48" xr:uid="{00000000-0005-0000-0000-000030000000}"/>
    <cellStyle name="Normal 24 4" xfId="49" xr:uid="{00000000-0005-0000-0000-000031000000}"/>
    <cellStyle name="Normal 24 5" xfId="50" xr:uid="{00000000-0005-0000-0000-000032000000}"/>
    <cellStyle name="Normal 24 6" xfId="51" xr:uid="{00000000-0005-0000-0000-000033000000}"/>
    <cellStyle name="Normal 25 2" xfId="52" xr:uid="{00000000-0005-0000-0000-000034000000}"/>
    <cellStyle name="Normal 25 3" xfId="53" xr:uid="{00000000-0005-0000-0000-000035000000}"/>
    <cellStyle name="Normal 25 4" xfId="54" xr:uid="{00000000-0005-0000-0000-000036000000}"/>
    <cellStyle name="Normal 25 5" xfId="55" xr:uid="{00000000-0005-0000-0000-000037000000}"/>
    <cellStyle name="Normal 25 6" xfId="56" xr:uid="{00000000-0005-0000-0000-000038000000}"/>
    <cellStyle name="Normal 3" xfId="57" xr:uid="{00000000-0005-0000-0000-000039000000}"/>
    <cellStyle name="Normal 3 2" xfId="58" xr:uid="{00000000-0005-0000-0000-00003A000000}"/>
    <cellStyle name="Normal 31" xfId="59" xr:uid="{00000000-0005-0000-0000-00003B000000}"/>
    <cellStyle name="Normal 31 2" xfId="60" xr:uid="{00000000-0005-0000-0000-00003C000000}"/>
    <cellStyle name="Normal 32" xfId="61" xr:uid="{00000000-0005-0000-0000-00003D000000}"/>
    <cellStyle name="Normal 9" xfId="62" xr:uid="{00000000-0005-0000-0000-00003E000000}"/>
    <cellStyle name="Normal 9 2" xfId="63" xr:uid="{00000000-0005-0000-0000-00003F000000}"/>
    <cellStyle name="Normal 9 3" xfId="64" xr:uid="{00000000-0005-0000-0000-000040000000}"/>
    <cellStyle name="Normal 9 4" xfId="65" xr:uid="{00000000-0005-0000-0000-000041000000}"/>
    <cellStyle name="Normal 9 5" xfId="66" xr:uid="{00000000-0005-0000-0000-000042000000}"/>
    <cellStyle name="Normal 9 6" xfId="67" xr:uid="{00000000-0005-0000-0000-000043000000}"/>
    <cellStyle name="Normal 9 7" xfId="68" xr:uid="{00000000-0005-0000-0000-000044000000}"/>
    <cellStyle name="Normal 9 8" xfId="69" xr:uid="{00000000-0005-0000-0000-000045000000}"/>
    <cellStyle name="Percent" xfId="70" builtinId="5"/>
    <cellStyle name="Percent 10" xfId="71" xr:uid="{00000000-0005-0000-0000-000047000000}"/>
    <cellStyle name="Percent 10 2" xfId="72" xr:uid="{00000000-0005-0000-0000-000048000000}"/>
    <cellStyle name="Percent 10 3" xfId="73" xr:uid="{00000000-0005-0000-0000-000049000000}"/>
    <cellStyle name="Percent 10 4" xfId="74" xr:uid="{00000000-0005-0000-0000-00004A000000}"/>
    <cellStyle name="Percent 10 5" xfId="75" xr:uid="{00000000-0005-0000-0000-00004B000000}"/>
    <cellStyle name="Percent 10 6" xfId="76" xr:uid="{00000000-0005-0000-0000-00004C000000}"/>
    <cellStyle name="Percent 12" xfId="77" xr:uid="{00000000-0005-0000-0000-00004D000000}"/>
    <cellStyle name="Percent 12 2" xfId="78" xr:uid="{00000000-0005-0000-0000-00004E000000}"/>
    <cellStyle name="Percent 12 3" xfId="79" xr:uid="{00000000-0005-0000-0000-00004F000000}"/>
    <cellStyle name="Percent 12 4" xfId="80" xr:uid="{00000000-0005-0000-0000-000050000000}"/>
    <cellStyle name="Percent 12 5" xfId="81" xr:uid="{00000000-0005-0000-0000-000051000000}"/>
    <cellStyle name="Percent 12 6" xfId="82" xr:uid="{00000000-0005-0000-0000-000052000000}"/>
    <cellStyle name="Percent 13" xfId="83" xr:uid="{00000000-0005-0000-0000-000053000000}"/>
    <cellStyle name="Percent 13 2" xfId="84" xr:uid="{00000000-0005-0000-0000-000054000000}"/>
    <cellStyle name="Percent 13 3" xfId="85" xr:uid="{00000000-0005-0000-0000-000055000000}"/>
    <cellStyle name="Percent 13 4" xfId="86" xr:uid="{00000000-0005-0000-0000-000056000000}"/>
    <cellStyle name="Percent 13 5" xfId="87" xr:uid="{00000000-0005-0000-0000-000057000000}"/>
    <cellStyle name="Percent 13 6" xfId="88" xr:uid="{00000000-0005-0000-0000-000058000000}"/>
    <cellStyle name="Percent 2" xfId="89" xr:uid="{00000000-0005-0000-0000-000059000000}"/>
    <cellStyle name="Percent 2 2" xfId="90" xr:uid="{00000000-0005-0000-0000-00005A000000}"/>
    <cellStyle name="Percent 2 3" xfId="91" xr:uid="{00000000-0005-0000-0000-00005B000000}"/>
    <cellStyle name="Percent 2 4" xfId="92" xr:uid="{00000000-0005-0000-0000-00005C000000}"/>
    <cellStyle name="Percent 2 5" xfId="93" xr:uid="{00000000-0005-0000-0000-00005D000000}"/>
    <cellStyle name="Percent 2 6" xfId="94" xr:uid="{00000000-0005-0000-0000-00005E000000}"/>
    <cellStyle name="Percent 22" xfId="95" xr:uid="{00000000-0005-0000-0000-00005F000000}"/>
    <cellStyle name="Percent 3" xfId="96" xr:uid="{00000000-0005-0000-0000-000060000000}"/>
    <cellStyle name="Percent 4" xfId="97" xr:uid="{00000000-0005-0000-0000-000061000000}"/>
    <cellStyle name="Percent 8" xfId="98" xr:uid="{00000000-0005-0000-0000-000062000000}"/>
    <cellStyle name="Percent 8 2" xfId="99" xr:uid="{00000000-0005-0000-0000-000063000000}"/>
    <cellStyle name="Percent 8 3" xfId="100" xr:uid="{00000000-0005-0000-0000-000064000000}"/>
    <cellStyle name="Percent 8 4" xfId="101" xr:uid="{00000000-0005-0000-0000-000065000000}"/>
    <cellStyle name="Percent 8 5" xfId="102" xr:uid="{00000000-0005-0000-0000-000066000000}"/>
    <cellStyle name="Percent 8 6" xfId="103" xr:uid="{00000000-0005-0000-0000-000067000000}"/>
    <cellStyle name="Percent 8 7" xfId="104" xr:uid="{00000000-0005-0000-0000-000068000000}"/>
    <cellStyle name="Percent 8 8" xfId="105" xr:uid="{00000000-0005-0000-0000-000069000000}"/>
    <cellStyle name="Percent 9" xfId="106" xr:uid="{00000000-0005-0000-0000-00006A000000}"/>
    <cellStyle name="Percent 9 2" xfId="107" xr:uid="{00000000-0005-0000-0000-00006B000000}"/>
    <cellStyle name="Percent 9 3" xfId="108" xr:uid="{00000000-0005-0000-0000-00006C000000}"/>
    <cellStyle name="Percent 9 4" xfId="109" xr:uid="{00000000-0005-0000-0000-00006D000000}"/>
    <cellStyle name="Percent 9 5" xfId="110" xr:uid="{00000000-0005-0000-0000-00006E000000}"/>
    <cellStyle name="Percent 9 6" xfId="111" xr:uid="{00000000-0005-0000-0000-00006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</a:defRPr>
            </a:pPr>
            <a:r>
              <a:rPr lang="en-GB"/>
              <a:t>Comparison of male and female mortality rates</a:t>
            </a:r>
          </a:p>
        </c:rich>
      </c:tx>
      <c:overlay val="0"/>
      <c:spPr>
        <a:prstGeom prst="rect">
          <a:avLst/>
        </a:prstGeom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'Mortality tables'!$B$4</c:f>
              <c:strCache>
                <c:ptCount val="1"/>
                <c:pt idx="0">
                  <c:v>Male mortality rate</c:v>
                </c:pt>
              </c:strCache>
            </c:strRef>
          </c:tx>
          <c:spPr>
            <a:prstGeom prst="rect">
              <a:avLst/>
            </a:prstGeom>
            <a:ln w="28575" cap="rnd">
              <a:solidFill>
                <a:schemeClr val="accent2"/>
              </a:solidFill>
              <a:round/>
            </a:ln>
          </c:spPr>
          <c:marker>
            <c:symbol val="none"/>
          </c:marker>
          <c:cat>
            <c:strRef>
              <c:f>'Mortality tables'!$A$4:$A$102</c:f>
              <c:strCache>
                <c:ptCount val="99"/>
                <c:pt idx="0">
                  <c:v>Age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  <c:pt idx="44">
                  <c:v>66</c:v>
                </c:pt>
                <c:pt idx="45">
                  <c:v>67</c:v>
                </c:pt>
                <c:pt idx="46">
                  <c:v>68</c:v>
                </c:pt>
                <c:pt idx="47">
                  <c:v>69</c:v>
                </c:pt>
                <c:pt idx="48">
                  <c:v>70</c:v>
                </c:pt>
                <c:pt idx="49">
                  <c:v>71</c:v>
                </c:pt>
                <c:pt idx="50">
                  <c:v>72</c:v>
                </c:pt>
                <c:pt idx="51">
                  <c:v>73</c:v>
                </c:pt>
                <c:pt idx="52">
                  <c:v>74</c:v>
                </c:pt>
                <c:pt idx="53">
                  <c:v>75</c:v>
                </c:pt>
                <c:pt idx="54">
                  <c:v>76</c:v>
                </c:pt>
                <c:pt idx="55">
                  <c:v>77</c:v>
                </c:pt>
                <c:pt idx="56">
                  <c:v>78</c:v>
                </c:pt>
                <c:pt idx="57">
                  <c:v>79</c:v>
                </c:pt>
                <c:pt idx="58">
                  <c:v>80</c:v>
                </c:pt>
                <c:pt idx="59">
                  <c:v>81</c:v>
                </c:pt>
                <c:pt idx="60">
                  <c:v>82</c:v>
                </c:pt>
                <c:pt idx="61">
                  <c:v>83</c:v>
                </c:pt>
                <c:pt idx="62">
                  <c:v>84</c:v>
                </c:pt>
                <c:pt idx="63">
                  <c:v>85</c:v>
                </c:pt>
                <c:pt idx="64">
                  <c:v>86</c:v>
                </c:pt>
                <c:pt idx="65">
                  <c:v>87</c:v>
                </c:pt>
                <c:pt idx="66">
                  <c:v>88</c:v>
                </c:pt>
                <c:pt idx="67">
                  <c:v>89</c:v>
                </c:pt>
                <c:pt idx="68">
                  <c:v>90</c:v>
                </c:pt>
                <c:pt idx="69">
                  <c:v>91</c:v>
                </c:pt>
                <c:pt idx="70">
                  <c:v>92</c:v>
                </c:pt>
                <c:pt idx="71">
                  <c:v>93</c:v>
                </c:pt>
                <c:pt idx="72">
                  <c:v>94</c:v>
                </c:pt>
                <c:pt idx="73">
                  <c:v>95</c:v>
                </c:pt>
                <c:pt idx="74">
                  <c:v>96</c:v>
                </c:pt>
                <c:pt idx="75">
                  <c:v>97</c:v>
                </c:pt>
                <c:pt idx="76">
                  <c:v>98</c:v>
                </c:pt>
                <c:pt idx="77">
                  <c:v>99</c:v>
                </c:pt>
                <c:pt idx="78">
                  <c:v>100</c:v>
                </c:pt>
                <c:pt idx="79">
                  <c:v>101</c:v>
                </c:pt>
                <c:pt idx="80">
                  <c:v>102</c:v>
                </c:pt>
                <c:pt idx="81">
                  <c:v>103</c:v>
                </c:pt>
                <c:pt idx="82">
                  <c:v>104</c:v>
                </c:pt>
                <c:pt idx="83">
                  <c:v>105</c:v>
                </c:pt>
                <c:pt idx="84">
                  <c:v>106</c:v>
                </c:pt>
                <c:pt idx="85">
                  <c:v>107</c:v>
                </c:pt>
                <c:pt idx="86">
                  <c:v>108</c:v>
                </c:pt>
                <c:pt idx="87">
                  <c:v>109</c:v>
                </c:pt>
                <c:pt idx="88">
                  <c:v>110</c:v>
                </c:pt>
                <c:pt idx="89">
                  <c:v>111</c:v>
                </c:pt>
                <c:pt idx="90">
                  <c:v>112</c:v>
                </c:pt>
                <c:pt idx="91">
                  <c:v>113</c:v>
                </c:pt>
                <c:pt idx="92">
                  <c:v>114</c:v>
                </c:pt>
                <c:pt idx="93">
                  <c:v>115</c:v>
                </c:pt>
                <c:pt idx="94">
                  <c:v>116</c:v>
                </c:pt>
                <c:pt idx="95">
                  <c:v>117</c:v>
                </c:pt>
                <c:pt idx="96">
                  <c:v>118</c:v>
                </c:pt>
                <c:pt idx="97">
                  <c:v>119</c:v>
                </c:pt>
                <c:pt idx="98">
                  <c:v>120</c:v>
                </c:pt>
              </c:strCache>
            </c:strRef>
          </c:cat>
          <c:val>
            <c:numRef>
              <c:f>'Mortality tables'!$B$5:$B$102</c:f>
              <c:numCache>
                <c:formatCode>_-* #,##0.000000_-;\-* #,##0.000000_-;_-* "-"??_-;_-@_-</c:formatCode>
                <c:ptCount val="98"/>
                <c:pt idx="0">
                  <c:v>8.2600000000000002E-4</c:v>
                </c:pt>
                <c:pt idx="1">
                  <c:v>8.3500000000000002E-4</c:v>
                </c:pt>
                <c:pt idx="2">
                  <c:v>8.43E-4</c:v>
                </c:pt>
                <c:pt idx="3">
                  <c:v>8.5099999999999998E-4</c:v>
                </c:pt>
                <c:pt idx="4">
                  <c:v>8.5999999999999998E-4</c:v>
                </c:pt>
                <c:pt idx="5">
                  <c:v>8.6899999999999998E-4</c:v>
                </c:pt>
                <c:pt idx="6">
                  <c:v>8.7799999999999998E-4</c:v>
                </c:pt>
                <c:pt idx="7">
                  <c:v>8.8599999999999996E-4</c:v>
                </c:pt>
                <c:pt idx="8">
                  <c:v>9.0399999999999996E-4</c:v>
                </c:pt>
                <c:pt idx="9">
                  <c:v>9.3199999999999999E-4</c:v>
                </c:pt>
                <c:pt idx="10">
                  <c:v>9.6100000000000005E-4</c:v>
                </c:pt>
                <c:pt idx="11">
                  <c:v>9.9099999999999991E-4</c:v>
                </c:pt>
                <c:pt idx="12">
                  <c:v>1.0219999999999999E-3</c:v>
                </c:pt>
                <c:pt idx="13">
                  <c:v>1.0529999999999999E-3</c:v>
                </c:pt>
                <c:pt idx="14">
                  <c:v>1.0859999999999999E-3</c:v>
                </c:pt>
                <c:pt idx="15">
                  <c:v>1.119E-3</c:v>
                </c:pt>
                <c:pt idx="16">
                  <c:v>1.1659999999999999E-3</c:v>
                </c:pt>
                <c:pt idx="17">
                  <c:v>1.206E-3</c:v>
                </c:pt>
                <c:pt idx="18">
                  <c:v>1.2570000000000001E-3</c:v>
                </c:pt>
                <c:pt idx="19">
                  <c:v>1.3209999999999999E-3</c:v>
                </c:pt>
                <c:pt idx="20">
                  <c:v>1.3990000000000001E-3</c:v>
                </c:pt>
                <c:pt idx="21">
                  <c:v>1.4909999999999999E-3</c:v>
                </c:pt>
                <c:pt idx="22">
                  <c:v>1.6000000000000001E-3</c:v>
                </c:pt>
                <c:pt idx="23">
                  <c:v>1.7260000000000001E-3</c:v>
                </c:pt>
                <c:pt idx="24">
                  <c:v>1.8730000000000001E-3</c:v>
                </c:pt>
                <c:pt idx="25">
                  <c:v>2.0409999999999998E-3</c:v>
                </c:pt>
                <c:pt idx="26">
                  <c:v>2.2339999999999999E-3</c:v>
                </c:pt>
                <c:pt idx="27">
                  <c:v>2.454E-3</c:v>
                </c:pt>
                <c:pt idx="28">
                  <c:v>2.7039999999999998E-3</c:v>
                </c:pt>
                <c:pt idx="29">
                  <c:v>2.9880000000000002E-3</c:v>
                </c:pt>
                <c:pt idx="30">
                  <c:v>3.3080000000000002E-3</c:v>
                </c:pt>
                <c:pt idx="31">
                  <c:v>3.6679999999999998E-3</c:v>
                </c:pt>
                <c:pt idx="32">
                  <c:v>4.0720000000000001E-3</c:v>
                </c:pt>
                <c:pt idx="33">
                  <c:v>4.5230000000000001E-3</c:v>
                </c:pt>
                <c:pt idx="34">
                  <c:v>5.0229999999999997E-3</c:v>
                </c:pt>
                <c:pt idx="35">
                  <c:v>5.5760000000000002E-3</c:v>
                </c:pt>
                <c:pt idx="36">
                  <c:v>6.1830000000000001E-3</c:v>
                </c:pt>
                <c:pt idx="37">
                  <c:v>6.8450000000000004E-3</c:v>
                </c:pt>
                <c:pt idx="38">
                  <c:v>7.5620000000000001E-3</c:v>
                </c:pt>
                <c:pt idx="39">
                  <c:v>8.3309999999999999E-3</c:v>
                </c:pt>
                <c:pt idx="40">
                  <c:v>9.1500000000000001E-3</c:v>
                </c:pt>
                <c:pt idx="41">
                  <c:v>1.0012E-2</c:v>
                </c:pt>
                <c:pt idx="42">
                  <c:v>1.091E-2</c:v>
                </c:pt>
                <c:pt idx="43">
                  <c:v>1.1831E-2</c:v>
                </c:pt>
                <c:pt idx="44">
                  <c:v>1.2763E-2</c:v>
                </c:pt>
                <c:pt idx="45">
                  <c:v>1.3689E-2</c:v>
                </c:pt>
                <c:pt idx="46">
                  <c:v>1.4590000000000001E-2</c:v>
                </c:pt>
                <c:pt idx="47">
                  <c:v>1.5447000000000001E-2</c:v>
                </c:pt>
                <c:pt idx="48">
                  <c:v>1.7176E-2</c:v>
                </c:pt>
                <c:pt idx="49">
                  <c:v>1.9084E-2</c:v>
                </c:pt>
                <c:pt idx="50">
                  <c:v>2.1198000000000002E-2</c:v>
                </c:pt>
                <c:pt idx="51">
                  <c:v>2.3550999999999999E-2</c:v>
                </c:pt>
                <c:pt idx="52">
                  <c:v>2.6183000000000001E-2</c:v>
                </c:pt>
                <c:pt idx="53">
                  <c:v>2.9139999999999999E-2</c:v>
                </c:pt>
                <c:pt idx="54">
                  <c:v>3.2481000000000003E-2</c:v>
                </c:pt>
                <c:pt idx="55">
                  <c:v>3.6274000000000001E-2</c:v>
                </c:pt>
                <c:pt idx="56">
                  <c:v>4.0598000000000002E-2</c:v>
                </c:pt>
                <c:pt idx="57">
                  <c:v>4.5538000000000002E-2</c:v>
                </c:pt>
                <c:pt idx="58">
                  <c:v>5.1187999999999997E-2</c:v>
                </c:pt>
                <c:pt idx="59">
                  <c:v>5.7654999999999998E-2</c:v>
                </c:pt>
                <c:pt idx="60">
                  <c:v>6.5054000000000001E-2</c:v>
                </c:pt>
                <c:pt idx="61">
                  <c:v>7.3513999999999996E-2</c:v>
                </c:pt>
                <c:pt idx="62">
                  <c:v>8.3172999999999997E-2</c:v>
                </c:pt>
                <c:pt idx="63">
                  <c:v>9.4197000000000003E-2</c:v>
                </c:pt>
                <c:pt idx="64">
                  <c:v>0.106852</c:v>
                </c:pt>
                <c:pt idx="65">
                  <c:v>0.12148</c:v>
                </c:pt>
                <c:pt idx="66">
                  <c:v>0.13850499999999999</c:v>
                </c:pt>
                <c:pt idx="67">
                  <c:v>0.158467</c:v>
                </c:pt>
                <c:pt idx="68">
                  <c:v>0.18027599999999999</c:v>
                </c:pt>
                <c:pt idx="69">
                  <c:v>0.20394000000000001</c:v>
                </c:pt>
                <c:pt idx="70">
                  <c:v>0.22944100000000001</c:v>
                </c:pt>
                <c:pt idx="71">
                  <c:v>0.25673699999999999</c:v>
                </c:pt>
                <c:pt idx="72">
                  <c:v>0.28576200000000002</c:v>
                </c:pt>
                <c:pt idx="73">
                  <c:v>0.31642199999999998</c:v>
                </c:pt>
                <c:pt idx="74">
                  <c:v>0.34860099999999999</c:v>
                </c:pt>
                <c:pt idx="75">
                  <c:v>0.382164</c:v>
                </c:pt>
                <c:pt idx="76">
                  <c:v>0.41695399999999999</c:v>
                </c:pt>
                <c:pt idx="77">
                  <c:v>0.45280399999999998</c:v>
                </c:pt>
                <c:pt idx="78">
                  <c:v>0.48953200000000002</c:v>
                </c:pt>
                <c:pt idx="79">
                  <c:v>0.52695199999999998</c:v>
                </c:pt>
                <c:pt idx="80">
                  <c:v>0.56487399999999999</c:v>
                </c:pt>
                <c:pt idx="81">
                  <c:v>0.60311000000000003</c:v>
                </c:pt>
                <c:pt idx="82">
                  <c:v>0.64147699999999996</c:v>
                </c:pt>
                <c:pt idx="83">
                  <c:v>0.67979800000000001</c:v>
                </c:pt>
                <c:pt idx="84">
                  <c:v>0.71790900000000002</c:v>
                </c:pt>
                <c:pt idx="85">
                  <c:v>0.75565599999999999</c:v>
                </c:pt>
                <c:pt idx="86">
                  <c:v>0.79290099999999997</c:v>
                </c:pt>
                <c:pt idx="87">
                  <c:v>0.82952099999999995</c:v>
                </c:pt>
                <c:pt idx="88">
                  <c:v>0.86540799999999996</c:v>
                </c:pt>
                <c:pt idx="89">
                  <c:v>0.90046800000000005</c:v>
                </c:pt>
                <c:pt idx="90">
                  <c:v>0.93462599999999996</c:v>
                </c:pt>
                <c:pt idx="91">
                  <c:v>0.96781899999999998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D-421D-AEB3-F73A9C8C3E97}"/>
            </c:ext>
          </c:extLst>
        </c:ser>
        <c:ser>
          <c:idx val="2"/>
          <c:order val="1"/>
          <c:tx>
            <c:strRef>
              <c:f>'Mortality tables'!$C$4</c:f>
              <c:strCache>
                <c:ptCount val="1"/>
                <c:pt idx="0">
                  <c:v>Female mortality rate</c:v>
                </c:pt>
              </c:strCache>
            </c:strRef>
          </c:tx>
          <c:spPr>
            <a:prstGeom prst="rect">
              <a:avLst/>
            </a:prstGeom>
            <a:ln w="28575" cap="rnd">
              <a:solidFill>
                <a:schemeClr val="accent3"/>
              </a:solidFill>
              <a:round/>
            </a:ln>
          </c:spPr>
          <c:marker>
            <c:symbol val="none"/>
          </c:marker>
          <c:cat>
            <c:strRef>
              <c:f>'Mortality tables'!$A$4:$A$102</c:f>
              <c:strCache>
                <c:ptCount val="99"/>
                <c:pt idx="0">
                  <c:v>Age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  <c:pt idx="44">
                  <c:v>66</c:v>
                </c:pt>
                <c:pt idx="45">
                  <c:v>67</c:v>
                </c:pt>
                <c:pt idx="46">
                  <c:v>68</c:v>
                </c:pt>
                <c:pt idx="47">
                  <c:v>69</c:v>
                </c:pt>
                <c:pt idx="48">
                  <c:v>70</c:v>
                </c:pt>
                <c:pt idx="49">
                  <c:v>71</c:v>
                </c:pt>
                <c:pt idx="50">
                  <c:v>72</c:v>
                </c:pt>
                <c:pt idx="51">
                  <c:v>73</c:v>
                </c:pt>
                <c:pt idx="52">
                  <c:v>74</c:v>
                </c:pt>
                <c:pt idx="53">
                  <c:v>75</c:v>
                </c:pt>
                <c:pt idx="54">
                  <c:v>76</c:v>
                </c:pt>
                <c:pt idx="55">
                  <c:v>77</c:v>
                </c:pt>
                <c:pt idx="56">
                  <c:v>78</c:v>
                </c:pt>
                <c:pt idx="57">
                  <c:v>79</c:v>
                </c:pt>
                <c:pt idx="58">
                  <c:v>80</c:v>
                </c:pt>
                <c:pt idx="59">
                  <c:v>81</c:v>
                </c:pt>
                <c:pt idx="60">
                  <c:v>82</c:v>
                </c:pt>
                <c:pt idx="61">
                  <c:v>83</c:v>
                </c:pt>
                <c:pt idx="62">
                  <c:v>84</c:v>
                </c:pt>
                <c:pt idx="63">
                  <c:v>85</c:v>
                </c:pt>
                <c:pt idx="64">
                  <c:v>86</c:v>
                </c:pt>
                <c:pt idx="65">
                  <c:v>87</c:v>
                </c:pt>
                <c:pt idx="66">
                  <c:v>88</c:v>
                </c:pt>
                <c:pt idx="67">
                  <c:v>89</c:v>
                </c:pt>
                <c:pt idx="68">
                  <c:v>90</c:v>
                </c:pt>
                <c:pt idx="69">
                  <c:v>91</c:v>
                </c:pt>
                <c:pt idx="70">
                  <c:v>92</c:v>
                </c:pt>
                <c:pt idx="71">
                  <c:v>93</c:v>
                </c:pt>
                <c:pt idx="72">
                  <c:v>94</c:v>
                </c:pt>
                <c:pt idx="73">
                  <c:v>95</c:v>
                </c:pt>
                <c:pt idx="74">
                  <c:v>96</c:v>
                </c:pt>
                <c:pt idx="75">
                  <c:v>97</c:v>
                </c:pt>
                <c:pt idx="76">
                  <c:v>98</c:v>
                </c:pt>
                <c:pt idx="77">
                  <c:v>99</c:v>
                </c:pt>
                <c:pt idx="78">
                  <c:v>100</c:v>
                </c:pt>
                <c:pt idx="79">
                  <c:v>101</c:v>
                </c:pt>
                <c:pt idx="80">
                  <c:v>102</c:v>
                </c:pt>
                <c:pt idx="81">
                  <c:v>103</c:v>
                </c:pt>
                <c:pt idx="82">
                  <c:v>104</c:v>
                </c:pt>
                <c:pt idx="83">
                  <c:v>105</c:v>
                </c:pt>
                <c:pt idx="84">
                  <c:v>106</c:v>
                </c:pt>
                <c:pt idx="85">
                  <c:v>107</c:v>
                </c:pt>
                <c:pt idx="86">
                  <c:v>108</c:v>
                </c:pt>
                <c:pt idx="87">
                  <c:v>109</c:v>
                </c:pt>
                <c:pt idx="88">
                  <c:v>110</c:v>
                </c:pt>
                <c:pt idx="89">
                  <c:v>111</c:v>
                </c:pt>
                <c:pt idx="90">
                  <c:v>112</c:v>
                </c:pt>
                <c:pt idx="91">
                  <c:v>113</c:v>
                </c:pt>
                <c:pt idx="92">
                  <c:v>114</c:v>
                </c:pt>
                <c:pt idx="93">
                  <c:v>115</c:v>
                </c:pt>
                <c:pt idx="94">
                  <c:v>116</c:v>
                </c:pt>
                <c:pt idx="95">
                  <c:v>117</c:v>
                </c:pt>
                <c:pt idx="96">
                  <c:v>118</c:v>
                </c:pt>
                <c:pt idx="97">
                  <c:v>119</c:v>
                </c:pt>
                <c:pt idx="98">
                  <c:v>120</c:v>
                </c:pt>
              </c:strCache>
            </c:strRef>
          </c:cat>
          <c:val>
            <c:numRef>
              <c:f>'Mortality tables'!$C$5:$C$102</c:f>
              <c:numCache>
                <c:formatCode>_-* #,##0.000000_-;\-* #,##0.000000_-;_-* "-"??_-;_-@_-</c:formatCode>
                <c:ptCount val="98"/>
                <c:pt idx="0">
                  <c:v>3.3100000000000002E-4</c:v>
                </c:pt>
                <c:pt idx="1">
                  <c:v>3.6200000000000002E-4</c:v>
                </c:pt>
                <c:pt idx="2">
                  <c:v>3.9500000000000001E-4</c:v>
                </c:pt>
                <c:pt idx="3">
                  <c:v>4.3199999999999998E-4</c:v>
                </c:pt>
                <c:pt idx="4">
                  <c:v>4.7199999999999998E-4</c:v>
                </c:pt>
                <c:pt idx="5">
                  <c:v>5.1599999999999997E-4</c:v>
                </c:pt>
                <c:pt idx="6">
                  <c:v>5.6400000000000005E-4</c:v>
                </c:pt>
                <c:pt idx="7">
                  <c:v>6.1600000000000001E-4</c:v>
                </c:pt>
                <c:pt idx="8">
                  <c:v>6.7299999999999999E-4</c:v>
                </c:pt>
                <c:pt idx="9">
                  <c:v>7.36E-4</c:v>
                </c:pt>
                <c:pt idx="10">
                  <c:v>8.0400000000000003E-4</c:v>
                </c:pt>
                <c:pt idx="11">
                  <c:v>8.7900000000000001E-4</c:v>
                </c:pt>
                <c:pt idx="12">
                  <c:v>9.6100000000000005E-4</c:v>
                </c:pt>
                <c:pt idx="13">
                  <c:v>1.0499999999999999E-3</c:v>
                </c:pt>
                <c:pt idx="14">
                  <c:v>1.147E-3</c:v>
                </c:pt>
                <c:pt idx="15">
                  <c:v>1.2539999999999999E-3</c:v>
                </c:pt>
                <c:pt idx="16">
                  <c:v>1.348E-3</c:v>
                </c:pt>
                <c:pt idx="17">
                  <c:v>1.4499999999999999E-3</c:v>
                </c:pt>
                <c:pt idx="18">
                  <c:v>1.5579999999999999E-3</c:v>
                </c:pt>
                <c:pt idx="19">
                  <c:v>1.6750000000000001E-3</c:v>
                </c:pt>
                <c:pt idx="20">
                  <c:v>1.802E-3</c:v>
                </c:pt>
                <c:pt idx="21">
                  <c:v>1.9380000000000001E-3</c:v>
                </c:pt>
                <c:pt idx="22">
                  <c:v>2.0860000000000002E-3</c:v>
                </c:pt>
                <c:pt idx="23">
                  <c:v>2.2439999999999999E-3</c:v>
                </c:pt>
                <c:pt idx="24">
                  <c:v>2.4139999999999999E-3</c:v>
                </c:pt>
                <c:pt idx="25">
                  <c:v>2.5959999999999998E-3</c:v>
                </c:pt>
                <c:pt idx="26">
                  <c:v>2.7889999999999998E-3</c:v>
                </c:pt>
                <c:pt idx="27">
                  <c:v>2.9940000000000001E-3</c:v>
                </c:pt>
                <c:pt idx="28">
                  <c:v>3.2109999999999999E-3</c:v>
                </c:pt>
                <c:pt idx="29">
                  <c:v>3.4390000000000002E-3</c:v>
                </c:pt>
                <c:pt idx="30">
                  <c:v>3.679E-3</c:v>
                </c:pt>
                <c:pt idx="31">
                  <c:v>3.9290000000000002E-3</c:v>
                </c:pt>
                <c:pt idx="32">
                  <c:v>4.1879999999999999E-3</c:v>
                </c:pt>
                <c:pt idx="33">
                  <c:v>4.4559999999999999E-3</c:v>
                </c:pt>
                <c:pt idx="34">
                  <c:v>4.731E-3</c:v>
                </c:pt>
                <c:pt idx="35">
                  <c:v>5.012E-3</c:v>
                </c:pt>
                <c:pt idx="36">
                  <c:v>5.2950000000000002E-3</c:v>
                </c:pt>
                <c:pt idx="37">
                  <c:v>5.5799999999999999E-3</c:v>
                </c:pt>
                <c:pt idx="38">
                  <c:v>5.8630000000000002E-3</c:v>
                </c:pt>
                <c:pt idx="39">
                  <c:v>6.1419999999999999E-3</c:v>
                </c:pt>
                <c:pt idx="40">
                  <c:v>6.4130000000000003E-3</c:v>
                </c:pt>
                <c:pt idx="41">
                  <c:v>6.672E-3</c:v>
                </c:pt>
                <c:pt idx="42">
                  <c:v>6.9189999999999998E-3</c:v>
                </c:pt>
                <c:pt idx="43">
                  <c:v>7.554E-3</c:v>
                </c:pt>
                <c:pt idx="44">
                  <c:v>8.2579999999999997E-3</c:v>
                </c:pt>
                <c:pt idx="45">
                  <c:v>9.0299999999999998E-3</c:v>
                </c:pt>
                <c:pt idx="46">
                  <c:v>9.8720000000000006E-3</c:v>
                </c:pt>
                <c:pt idx="47">
                  <c:v>1.0784E-2</c:v>
                </c:pt>
                <c:pt idx="48">
                  <c:v>1.1771E-2</c:v>
                </c:pt>
                <c:pt idx="49">
                  <c:v>1.2848E-2</c:v>
                </c:pt>
                <c:pt idx="50">
                  <c:v>1.4038999999999999E-2</c:v>
                </c:pt>
                <c:pt idx="51">
                  <c:v>1.5370999999999999E-2</c:v>
                </c:pt>
                <c:pt idx="52">
                  <c:v>1.6875000000000001E-2</c:v>
                </c:pt>
                <c:pt idx="53">
                  <c:v>1.8585000000000001E-2</c:v>
                </c:pt>
                <c:pt idx="54">
                  <c:v>2.0539999999999999E-2</c:v>
                </c:pt>
                <c:pt idx="55">
                  <c:v>2.2780999999999999E-2</c:v>
                </c:pt>
                <c:pt idx="56">
                  <c:v>2.5354000000000002E-2</c:v>
                </c:pt>
                <c:pt idx="57">
                  <c:v>2.8302999999999998E-2</c:v>
                </c:pt>
                <c:pt idx="58">
                  <c:v>3.1671999999999999E-2</c:v>
                </c:pt>
                <c:pt idx="59">
                  <c:v>3.5501999999999999E-2</c:v>
                </c:pt>
                <c:pt idx="60">
                  <c:v>3.9843999999999997E-2</c:v>
                </c:pt>
                <c:pt idx="61">
                  <c:v>4.4757999999999999E-2</c:v>
                </c:pt>
                <c:pt idx="62">
                  <c:v>5.0319999999999997E-2</c:v>
                </c:pt>
                <c:pt idx="63">
                  <c:v>5.6627999999999998E-2</c:v>
                </c:pt>
                <c:pt idx="64">
                  <c:v>6.3812999999999995E-2</c:v>
                </c:pt>
                <c:pt idx="65">
                  <c:v>7.2020000000000001E-2</c:v>
                </c:pt>
                <c:pt idx="66">
                  <c:v>8.1393999999999994E-2</c:v>
                </c:pt>
                <c:pt idx="67">
                  <c:v>9.2079999999999995E-2</c:v>
                </c:pt>
                <c:pt idx="68">
                  <c:v>0.104033</c:v>
                </c:pt>
                <c:pt idx="69">
                  <c:v>0.11737400000000001</c:v>
                </c:pt>
                <c:pt idx="70">
                  <c:v>0.13223099999999999</c:v>
                </c:pt>
                <c:pt idx="71">
                  <c:v>0.14873700000000001</c:v>
                </c:pt>
                <c:pt idx="72">
                  <c:v>0.16702700000000001</c:v>
                </c:pt>
                <c:pt idx="73">
                  <c:v>0.18723600000000001</c:v>
                </c:pt>
                <c:pt idx="74">
                  <c:v>0.20949899999999999</c:v>
                </c:pt>
                <c:pt idx="75">
                  <c:v>0.23394400000000001</c:v>
                </c:pt>
                <c:pt idx="76">
                  <c:v>0.26069199999999998</c:v>
                </c:pt>
                <c:pt idx="77">
                  <c:v>0.28985</c:v>
                </c:pt>
                <c:pt idx="78">
                  <c:v>0.32150699999999999</c:v>
                </c:pt>
                <c:pt idx="79">
                  <c:v>0.35573100000000002</c:v>
                </c:pt>
                <c:pt idx="80">
                  <c:v>0.392563</c:v>
                </c:pt>
                <c:pt idx="81">
                  <c:v>0.43201000000000001</c:v>
                </c:pt>
                <c:pt idx="82">
                  <c:v>0.47404200000000002</c:v>
                </c:pt>
                <c:pt idx="83">
                  <c:v>0.51859</c:v>
                </c:pt>
                <c:pt idx="84">
                  <c:v>0.56554099999999996</c:v>
                </c:pt>
                <c:pt idx="85">
                  <c:v>0.61473599999999995</c:v>
                </c:pt>
                <c:pt idx="86">
                  <c:v>0.66597099999999998</c:v>
                </c:pt>
                <c:pt idx="87">
                  <c:v>0.71899999999999997</c:v>
                </c:pt>
                <c:pt idx="88">
                  <c:v>0.77353499999999997</c:v>
                </c:pt>
                <c:pt idx="89">
                  <c:v>0.82925800000000005</c:v>
                </c:pt>
                <c:pt idx="90">
                  <c:v>0.88582000000000005</c:v>
                </c:pt>
                <c:pt idx="91">
                  <c:v>0.94285600000000003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D-421D-AEB3-F73A9C8C3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5084152"/>
        <c:axId val="775084544"/>
      </c:lineChart>
      <c:catAx>
        <c:axId val="775084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</a:defRPr>
                </a:pPr>
                <a:r>
                  <a:rPr lang="en-GB"/>
                  <a:t>Age</a:t>
                </a:r>
              </a:p>
            </c:rich>
          </c:tx>
          <c:overlay val="0"/>
          <c:spPr>
            <a:prstGeom prst="rect">
              <a:avLst/>
            </a:prstGeom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</a:defRPr>
            </a:pPr>
            <a:endParaRPr lang="en-US"/>
          </a:p>
        </c:txPr>
        <c:crossAx val="775084544"/>
        <c:crosses val="autoZero"/>
        <c:auto val="1"/>
        <c:lblAlgn val="ctr"/>
        <c:lblOffset val="100"/>
        <c:noMultiLvlLbl val="0"/>
      </c:catAx>
      <c:valAx>
        <c:axId val="775084544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</a:defRPr>
                </a:pPr>
                <a:r>
                  <a:rPr lang="en-GB"/>
                  <a:t>Probability</a:t>
                </a:r>
              </a:p>
            </c:rich>
          </c:tx>
          <c:overlay val="0"/>
          <c:spPr>
            <a:prstGeom prst="rect">
              <a:avLst/>
            </a:prstGeom>
            <a:noFill/>
            <a:ln>
              <a:noFill/>
            </a:ln>
          </c:spPr>
        </c:title>
        <c:numFmt formatCode="_-* #,##0.000000_-;\-* #,##0.000000_-;_-* &quot;-&quot;??_-;_-@_-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</a:defRPr>
            </a:pPr>
            <a:endParaRPr lang="en-US"/>
          </a:p>
        </c:txPr>
        <c:crossAx val="775084152"/>
        <c:crosses val="autoZero"/>
        <c:crossBetween val="between"/>
      </c:valAx>
      <c:spPr>
        <a:prstGeom prst="rect">
          <a:avLst/>
        </a:prstGeom>
        <a:noFill/>
        <a:ln>
          <a:noFill/>
        </a:ln>
      </c:spPr>
    </c:plotArea>
    <c:legend>
      <c:legendPos val="b"/>
      <c:overlay val="0"/>
      <c:spPr>
        <a:prstGeom prst="rect">
          <a:avLst/>
        </a:prstGeom>
        <a:noFill/>
        <a:ln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</a:defRPr>
          </a:pPr>
          <a:endParaRPr lang="en-US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</a:defRPr>
            </a:pPr>
            <a:r>
              <a:rPr lang="en-GB"/>
              <a:t>Comparison of Critical Illness incidence rates</a:t>
            </a:r>
          </a:p>
        </c:rich>
      </c:tx>
      <c:overlay val="0"/>
      <c:spPr>
        <a:prstGeom prst="rect">
          <a:avLst/>
        </a:prstGeom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'CI tables'!$B$4</c:f>
              <c:strCache>
                <c:ptCount val="1"/>
                <c:pt idx="0">
                  <c:v>Males</c:v>
                </c:pt>
              </c:strCache>
            </c:strRef>
          </c:tx>
          <c:spPr>
            <a:prstGeom prst="rect">
              <a:avLst/>
            </a:prstGeom>
            <a:ln w="28575" cap="rnd">
              <a:solidFill>
                <a:schemeClr val="accent2"/>
              </a:solidFill>
              <a:round/>
            </a:ln>
          </c:spPr>
          <c:marker>
            <c:symbol val="none"/>
          </c:marker>
          <c:cat>
            <c:numRef>
              <c:f>'CI tables'!$A$5:$A$97</c:f>
              <c:numCache>
                <c:formatCode>General</c:formatCode>
                <c:ptCount val="9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72</c:v>
                </c:pt>
                <c:pt idx="55">
                  <c:v>73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77</c:v>
                </c:pt>
                <c:pt idx="60">
                  <c:v>78</c:v>
                </c:pt>
                <c:pt idx="61">
                  <c:v>79</c:v>
                </c:pt>
                <c:pt idx="62">
                  <c:v>80</c:v>
                </c:pt>
                <c:pt idx="63">
                  <c:v>81</c:v>
                </c:pt>
                <c:pt idx="64">
                  <c:v>82</c:v>
                </c:pt>
                <c:pt idx="65">
                  <c:v>83</c:v>
                </c:pt>
                <c:pt idx="66">
                  <c:v>84</c:v>
                </c:pt>
                <c:pt idx="67">
                  <c:v>85</c:v>
                </c:pt>
                <c:pt idx="68">
                  <c:v>86</c:v>
                </c:pt>
                <c:pt idx="69">
                  <c:v>87</c:v>
                </c:pt>
                <c:pt idx="70">
                  <c:v>88</c:v>
                </c:pt>
                <c:pt idx="71">
                  <c:v>89</c:v>
                </c:pt>
                <c:pt idx="72">
                  <c:v>90</c:v>
                </c:pt>
                <c:pt idx="73">
                  <c:v>91</c:v>
                </c:pt>
                <c:pt idx="74">
                  <c:v>92</c:v>
                </c:pt>
                <c:pt idx="75">
                  <c:v>93</c:v>
                </c:pt>
                <c:pt idx="76">
                  <c:v>94</c:v>
                </c:pt>
                <c:pt idx="77">
                  <c:v>95</c:v>
                </c:pt>
                <c:pt idx="78">
                  <c:v>96</c:v>
                </c:pt>
                <c:pt idx="79">
                  <c:v>97</c:v>
                </c:pt>
                <c:pt idx="80">
                  <c:v>98</c:v>
                </c:pt>
                <c:pt idx="81">
                  <c:v>99</c:v>
                </c:pt>
                <c:pt idx="82">
                  <c:v>100</c:v>
                </c:pt>
                <c:pt idx="83">
                  <c:v>101</c:v>
                </c:pt>
                <c:pt idx="84">
                  <c:v>102</c:v>
                </c:pt>
                <c:pt idx="85">
                  <c:v>103</c:v>
                </c:pt>
                <c:pt idx="86">
                  <c:v>104</c:v>
                </c:pt>
                <c:pt idx="87">
                  <c:v>105</c:v>
                </c:pt>
                <c:pt idx="88">
                  <c:v>106</c:v>
                </c:pt>
                <c:pt idx="89">
                  <c:v>107</c:v>
                </c:pt>
                <c:pt idx="90">
                  <c:v>108</c:v>
                </c:pt>
                <c:pt idx="91">
                  <c:v>109</c:v>
                </c:pt>
                <c:pt idx="92">
                  <c:v>110</c:v>
                </c:pt>
              </c:numCache>
            </c:numRef>
          </c:cat>
          <c:val>
            <c:numRef>
              <c:f>'CI tables'!$B$6:$B$97</c:f>
              <c:numCache>
                <c:formatCode>0.00000</c:formatCode>
                <c:ptCount val="92"/>
                <c:pt idx="0">
                  <c:v>7.1000000000000002E-4</c:v>
                </c:pt>
                <c:pt idx="1">
                  <c:v>7.1000000000000002E-4</c:v>
                </c:pt>
                <c:pt idx="2">
                  <c:v>7.1000000000000002E-4</c:v>
                </c:pt>
                <c:pt idx="3">
                  <c:v>7.1000000000000002E-4</c:v>
                </c:pt>
                <c:pt idx="4">
                  <c:v>7.1000000000000002E-4</c:v>
                </c:pt>
                <c:pt idx="5">
                  <c:v>7.1000000000000002E-4</c:v>
                </c:pt>
                <c:pt idx="6">
                  <c:v>7.1000000000000002E-4</c:v>
                </c:pt>
                <c:pt idx="7">
                  <c:v>7.1000000000000002E-4</c:v>
                </c:pt>
                <c:pt idx="8">
                  <c:v>7.2000000000000005E-4</c:v>
                </c:pt>
                <c:pt idx="9">
                  <c:v>7.2999999999999996E-4</c:v>
                </c:pt>
                <c:pt idx="10">
                  <c:v>7.3999999999999999E-4</c:v>
                </c:pt>
                <c:pt idx="11">
                  <c:v>7.6000000000000004E-4</c:v>
                </c:pt>
                <c:pt idx="12">
                  <c:v>7.9000000000000001E-4</c:v>
                </c:pt>
                <c:pt idx="13">
                  <c:v>8.1999999999999998E-4</c:v>
                </c:pt>
                <c:pt idx="14">
                  <c:v>8.8000000000000003E-4</c:v>
                </c:pt>
                <c:pt idx="15">
                  <c:v>9.3999999999999997E-4</c:v>
                </c:pt>
                <c:pt idx="16">
                  <c:v>1.01E-3</c:v>
                </c:pt>
                <c:pt idx="17">
                  <c:v>1.1000000000000001E-3</c:v>
                </c:pt>
                <c:pt idx="18">
                  <c:v>1.1999999999999999E-3</c:v>
                </c:pt>
                <c:pt idx="19">
                  <c:v>1.31E-3</c:v>
                </c:pt>
                <c:pt idx="20">
                  <c:v>1.4300000000000001E-3</c:v>
                </c:pt>
                <c:pt idx="21">
                  <c:v>1.56E-3</c:v>
                </c:pt>
                <c:pt idx="22">
                  <c:v>1.6900000000000001E-3</c:v>
                </c:pt>
                <c:pt idx="23">
                  <c:v>1.82E-3</c:v>
                </c:pt>
                <c:pt idx="24">
                  <c:v>1.97E-3</c:v>
                </c:pt>
                <c:pt idx="25">
                  <c:v>2.1199999999999999E-3</c:v>
                </c:pt>
                <c:pt idx="26">
                  <c:v>2.31E-3</c:v>
                </c:pt>
                <c:pt idx="27">
                  <c:v>2.5600000000000002E-3</c:v>
                </c:pt>
                <c:pt idx="28">
                  <c:v>2.8500000000000001E-3</c:v>
                </c:pt>
                <c:pt idx="29">
                  <c:v>3.15E-3</c:v>
                </c:pt>
                <c:pt idx="30">
                  <c:v>3.5400000000000002E-3</c:v>
                </c:pt>
                <c:pt idx="31">
                  <c:v>4.0499999999999998E-3</c:v>
                </c:pt>
                <c:pt idx="32">
                  <c:v>4.6100000000000004E-3</c:v>
                </c:pt>
                <c:pt idx="33">
                  <c:v>5.2100000000000002E-3</c:v>
                </c:pt>
                <c:pt idx="34">
                  <c:v>5.8399999999999997E-3</c:v>
                </c:pt>
                <c:pt idx="35">
                  <c:v>6.4799999999999996E-3</c:v>
                </c:pt>
                <c:pt idx="36">
                  <c:v>7.1399999999999996E-3</c:v>
                </c:pt>
                <c:pt idx="37">
                  <c:v>7.8200000000000006E-3</c:v>
                </c:pt>
                <c:pt idx="38">
                  <c:v>8.5599999999999999E-3</c:v>
                </c:pt>
                <c:pt idx="39">
                  <c:v>9.41E-3</c:v>
                </c:pt>
                <c:pt idx="40">
                  <c:v>1.0370000000000001E-2</c:v>
                </c:pt>
                <c:pt idx="41">
                  <c:v>1.1440000000000001E-2</c:v>
                </c:pt>
                <c:pt idx="42">
                  <c:v>1.2659999999999999E-2</c:v>
                </c:pt>
                <c:pt idx="43">
                  <c:v>1.4080000000000001E-2</c:v>
                </c:pt>
                <c:pt idx="44">
                  <c:v>1.575E-2</c:v>
                </c:pt>
                <c:pt idx="45">
                  <c:v>1.7569999999999999E-2</c:v>
                </c:pt>
                <c:pt idx="46">
                  <c:v>1.959E-2</c:v>
                </c:pt>
                <c:pt idx="47">
                  <c:v>2.146E-2</c:v>
                </c:pt>
                <c:pt idx="48">
                  <c:v>2.401E-2</c:v>
                </c:pt>
                <c:pt idx="49">
                  <c:v>2.6870000000000002E-2</c:v>
                </c:pt>
                <c:pt idx="50">
                  <c:v>3.0040000000000001E-2</c:v>
                </c:pt>
                <c:pt idx="51">
                  <c:v>3.3570000000000003E-2</c:v>
                </c:pt>
                <c:pt idx="52">
                  <c:v>3.7490000000000002E-2</c:v>
                </c:pt>
                <c:pt idx="53">
                  <c:v>4.1820000000000003E-2</c:v>
                </c:pt>
                <c:pt idx="54">
                  <c:v>4.6550000000000001E-2</c:v>
                </c:pt>
                <c:pt idx="55">
                  <c:v>5.1610000000000003E-2</c:v>
                </c:pt>
                <c:pt idx="56">
                  <c:v>5.6750000000000002E-2</c:v>
                </c:pt>
                <c:pt idx="57">
                  <c:v>6.2179999999999999E-2</c:v>
                </c:pt>
                <c:pt idx="58">
                  <c:v>6.7919999999999994E-2</c:v>
                </c:pt>
                <c:pt idx="59">
                  <c:v>7.4079999999999993E-2</c:v>
                </c:pt>
                <c:pt idx="60">
                  <c:v>8.0710000000000004E-2</c:v>
                </c:pt>
                <c:pt idx="61">
                  <c:v>8.7980000000000003E-2</c:v>
                </c:pt>
                <c:pt idx="62">
                  <c:v>9.604E-2</c:v>
                </c:pt>
                <c:pt idx="63">
                  <c:v>0.10509</c:v>
                </c:pt>
                <c:pt idx="64">
                  <c:v>0.11548</c:v>
                </c:pt>
                <c:pt idx="65">
                  <c:v>0.12745999999999999</c:v>
                </c:pt>
                <c:pt idx="66">
                  <c:v>0.14141999999999999</c:v>
                </c:pt>
                <c:pt idx="67">
                  <c:v>0.15654999999999999</c:v>
                </c:pt>
                <c:pt idx="68">
                  <c:v>0.1729</c:v>
                </c:pt>
                <c:pt idx="69">
                  <c:v>0.19053999999999999</c:v>
                </c:pt>
                <c:pt idx="70">
                  <c:v>0.20951</c:v>
                </c:pt>
                <c:pt idx="71">
                  <c:v>0.22988</c:v>
                </c:pt>
                <c:pt idx="72">
                  <c:v>0.25169999999999998</c:v>
                </c:pt>
                <c:pt idx="73">
                  <c:v>0.27501999999999999</c:v>
                </c:pt>
                <c:pt idx="74">
                  <c:v>0.29991000000000001</c:v>
                </c:pt>
                <c:pt idx="75">
                  <c:v>0.32640999999999998</c:v>
                </c:pt>
                <c:pt idx="76">
                  <c:v>0.35455999999999999</c:v>
                </c:pt>
                <c:pt idx="77">
                  <c:v>0.38442999999999999</c:v>
                </c:pt>
                <c:pt idx="78">
                  <c:v>0.41604000000000002</c:v>
                </c:pt>
                <c:pt idx="79">
                  <c:v>0.44945000000000002</c:v>
                </c:pt>
                <c:pt idx="80">
                  <c:v>0.48468</c:v>
                </c:pt>
                <c:pt idx="81">
                  <c:v>0.52178000000000002</c:v>
                </c:pt>
                <c:pt idx="82">
                  <c:v>0.56077999999999995</c:v>
                </c:pt>
                <c:pt idx="83">
                  <c:v>0.60170000000000001</c:v>
                </c:pt>
                <c:pt idx="84">
                  <c:v>0.64456999999999998</c:v>
                </c:pt>
                <c:pt idx="85">
                  <c:v>0.68940000000000001</c:v>
                </c:pt>
                <c:pt idx="86">
                  <c:v>0.73623000000000005</c:v>
                </c:pt>
                <c:pt idx="87">
                  <c:v>0.78505000000000003</c:v>
                </c:pt>
                <c:pt idx="88">
                  <c:v>0.83587999999999996</c:v>
                </c:pt>
                <c:pt idx="89">
                  <c:v>0.88873000000000002</c:v>
                </c:pt>
                <c:pt idx="90">
                  <c:v>0.94357999999999997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46-40E4-AFDA-9EF8249E4763}"/>
            </c:ext>
          </c:extLst>
        </c:ser>
        <c:ser>
          <c:idx val="2"/>
          <c:order val="1"/>
          <c:tx>
            <c:strRef>
              <c:f>'CI tables'!$C$4</c:f>
              <c:strCache>
                <c:ptCount val="1"/>
                <c:pt idx="0">
                  <c:v>Females</c:v>
                </c:pt>
              </c:strCache>
            </c:strRef>
          </c:tx>
          <c:spPr>
            <a:prstGeom prst="rect">
              <a:avLst/>
            </a:prstGeom>
            <a:ln w="28575" cap="rnd">
              <a:solidFill>
                <a:schemeClr val="accent3"/>
              </a:solidFill>
              <a:round/>
            </a:ln>
          </c:spPr>
          <c:marker>
            <c:symbol val="none"/>
          </c:marker>
          <c:cat>
            <c:numRef>
              <c:f>'CI tables'!$A$5:$A$97</c:f>
              <c:numCache>
                <c:formatCode>General</c:formatCode>
                <c:ptCount val="9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72</c:v>
                </c:pt>
                <c:pt idx="55">
                  <c:v>73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77</c:v>
                </c:pt>
                <c:pt idx="60">
                  <c:v>78</c:v>
                </c:pt>
                <c:pt idx="61">
                  <c:v>79</c:v>
                </c:pt>
                <c:pt idx="62">
                  <c:v>80</c:v>
                </c:pt>
                <c:pt idx="63">
                  <c:v>81</c:v>
                </c:pt>
                <c:pt idx="64">
                  <c:v>82</c:v>
                </c:pt>
                <c:pt idx="65">
                  <c:v>83</c:v>
                </c:pt>
                <c:pt idx="66">
                  <c:v>84</c:v>
                </c:pt>
                <c:pt idx="67">
                  <c:v>85</c:v>
                </c:pt>
                <c:pt idx="68">
                  <c:v>86</c:v>
                </c:pt>
                <c:pt idx="69">
                  <c:v>87</c:v>
                </c:pt>
                <c:pt idx="70">
                  <c:v>88</c:v>
                </c:pt>
                <c:pt idx="71">
                  <c:v>89</c:v>
                </c:pt>
                <c:pt idx="72">
                  <c:v>90</c:v>
                </c:pt>
                <c:pt idx="73">
                  <c:v>91</c:v>
                </c:pt>
                <c:pt idx="74">
                  <c:v>92</c:v>
                </c:pt>
                <c:pt idx="75">
                  <c:v>93</c:v>
                </c:pt>
                <c:pt idx="76">
                  <c:v>94</c:v>
                </c:pt>
                <c:pt idx="77">
                  <c:v>95</c:v>
                </c:pt>
                <c:pt idx="78">
                  <c:v>96</c:v>
                </c:pt>
                <c:pt idx="79">
                  <c:v>97</c:v>
                </c:pt>
                <c:pt idx="80">
                  <c:v>98</c:v>
                </c:pt>
                <c:pt idx="81">
                  <c:v>99</c:v>
                </c:pt>
                <c:pt idx="82">
                  <c:v>100</c:v>
                </c:pt>
                <c:pt idx="83">
                  <c:v>101</c:v>
                </c:pt>
                <c:pt idx="84">
                  <c:v>102</c:v>
                </c:pt>
                <c:pt idx="85">
                  <c:v>103</c:v>
                </c:pt>
                <c:pt idx="86">
                  <c:v>104</c:v>
                </c:pt>
                <c:pt idx="87">
                  <c:v>105</c:v>
                </c:pt>
                <c:pt idx="88">
                  <c:v>106</c:v>
                </c:pt>
                <c:pt idx="89">
                  <c:v>107</c:v>
                </c:pt>
                <c:pt idx="90">
                  <c:v>108</c:v>
                </c:pt>
                <c:pt idx="91">
                  <c:v>109</c:v>
                </c:pt>
                <c:pt idx="92">
                  <c:v>110</c:v>
                </c:pt>
              </c:numCache>
            </c:numRef>
          </c:cat>
          <c:val>
            <c:numRef>
              <c:f>'CI tables'!$C$6:$C$97</c:f>
              <c:numCache>
                <c:formatCode>0.00000</c:formatCode>
                <c:ptCount val="92"/>
                <c:pt idx="0">
                  <c:v>3.2000000000000003E-4</c:v>
                </c:pt>
                <c:pt idx="1">
                  <c:v>3.4000000000000002E-4</c:v>
                </c:pt>
                <c:pt idx="2">
                  <c:v>3.6000000000000002E-4</c:v>
                </c:pt>
                <c:pt idx="3">
                  <c:v>3.8999999999999999E-4</c:v>
                </c:pt>
                <c:pt idx="4">
                  <c:v>4.2000000000000002E-4</c:v>
                </c:pt>
                <c:pt idx="5">
                  <c:v>4.6000000000000001E-4</c:v>
                </c:pt>
                <c:pt idx="6">
                  <c:v>5.0000000000000001E-4</c:v>
                </c:pt>
                <c:pt idx="7">
                  <c:v>5.4000000000000001E-4</c:v>
                </c:pt>
                <c:pt idx="8">
                  <c:v>5.9000000000000003E-4</c:v>
                </c:pt>
                <c:pt idx="9">
                  <c:v>6.4000000000000005E-4</c:v>
                </c:pt>
                <c:pt idx="10">
                  <c:v>7.1000000000000002E-4</c:v>
                </c:pt>
                <c:pt idx="11">
                  <c:v>7.9000000000000001E-4</c:v>
                </c:pt>
                <c:pt idx="12">
                  <c:v>8.7000000000000001E-4</c:v>
                </c:pt>
                <c:pt idx="13">
                  <c:v>9.5E-4</c:v>
                </c:pt>
                <c:pt idx="14">
                  <c:v>1.0399999999999999E-3</c:v>
                </c:pt>
                <c:pt idx="15">
                  <c:v>1.1299999999999999E-3</c:v>
                </c:pt>
                <c:pt idx="16">
                  <c:v>1.2199999999999999E-3</c:v>
                </c:pt>
                <c:pt idx="17">
                  <c:v>1.32E-3</c:v>
                </c:pt>
                <c:pt idx="18">
                  <c:v>1.42E-3</c:v>
                </c:pt>
                <c:pt idx="19">
                  <c:v>1.5200000000000001E-3</c:v>
                </c:pt>
                <c:pt idx="20">
                  <c:v>1.6299999999999999E-3</c:v>
                </c:pt>
                <c:pt idx="21">
                  <c:v>1.75E-3</c:v>
                </c:pt>
                <c:pt idx="22">
                  <c:v>1.92E-3</c:v>
                </c:pt>
                <c:pt idx="23">
                  <c:v>2.0899999999999998E-3</c:v>
                </c:pt>
                <c:pt idx="24">
                  <c:v>2.2599999999999999E-3</c:v>
                </c:pt>
                <c:pt idx="25">
                  <c:v>2.4399999999999999E-3</c:v>
                </c:pt>
                <c:pt idx="26">
                  <c:v>2.6199999999999999E-3</c:v>
                </c:pt>
                <c:pt idx="27">
                  <c:v>2.81E-3</c:v>
                </c:pt>
                <c:pt idx="28">
                  <c:v>3.0100000000000001E-3</c:v>
                </c:pt>
                <c:pt idx="29">
                  <c:v>3.2599999999999999E-3</c:v>
                </c:pt>
                <c:pt idx="30">
                  <c:v>3.5500000000000002E-3</c:v>
                </c:pt>
                <c:pt idx="31">
                  <c:v>3.8500000000000001E-3</c:v>
                </c:pt>
                <c:pt idx="32">
                  <c:v>4.1900000000000001E-3</c:v>
                </c:pt>
                <c:pt idx="33">
                  <c:v>4.5599999999999998E-3</c:v>
                </c:pt>
                <c:pt idx="34">
                  <c:v>4.9399999999999999E-3</c:v>
                </c:pt>
                <c:pt idx="35">
                  <c:v>5.3499999999999997E-3</c:v>
                </c:pt>
                <c:pt idx="36">
                  <c:v>5.77E-3</c:v>
                </c:pt>
                <c:pt idx="37">
                  <c:v>6.1900000000000002E-3</c:v>
                </c:pt>
                <c:pt idx="38">
                  <c:v>6.6299999999999996E-3</c:v>
                </c:pt>
                <c:pt idx="39">
                  <c:v>7.1000000000000013E-3</c:v>
                </c:pt>
                <c:pt idx="40">
                  <c:v>7.6499999999999997E-3</c:v>
                </c:pt>
                <c:pt idx="41">
                  <c:v>8.2400000000000008E-3</c:v>
                </c:pt>
                <c:pt idx="42">
                  <c:v>8.94E-3</c:v>
                </c:pt>
                <c:pt idx="43">
                  <c:v>9.7800000000000005E-3</c:v>
                </c:pt>
                <c:pt idx="44">
                  <c:v>1.072E-2</c:v>
                </c:pt>
                <c:pt idx="45">
                  <c:v>1.174E-2</c:v>
                </c:pt>
                <c:pt idx="46">
                  <c:v>1.286E-2</c:v>
                </c:pt>
                <c:pt idx="47">
                  <c:v>1.26E-2</c:v>
                </c:pt>
                <c:pt idx="48">
                  <c:v>1.3979999999999999E-2</c:v>
                </c:pt>
                <c:pt idx="49">
                  <c:v>1.554E-2</c:v>
                </c:pt>
                <c:pt idx="50">
                  <c:v>1.7340000000000001E-2</c:v>
                </c:pt>
                <c:pt idx="51">
                  <c:v>1.941E-2</c:v>
                </c:pt>
                <c:pt idx="52">
                  <c:v>2.1829999999999999E-2</c:v>
                </c:pt>
                <c:pt idx="53">
                  <c:v>2.4590000000000001E-2</c:v>
                </c:pt>
                <c:pt idx="54">
                  <c:v>2.7539999999999999E-2</c:v>
                </c:pt>
                <c:pt idx="55">
                  <c:v>3.0800000000000001E-2</c:v>
                </c:pt>
                <c:pt idx="56">
                  <c:v>3.4329999999999999E-2</c:v>
                </c:pt>
                <c:pt idx="57">
                  <c:v>3.8129999999999997E-2</c:v>
                </c:pt>
                <c:pt idx="58">
                  <c:v>4.224E-2</c:v>
                </c:pt>
                <c:pt idx="59">
                  <c:v>4.6760000000000003E-2</c:v>
                </c:pt>
                <c:pt idx="60">
                  <c:v>5.1819999999999998E-2</c:v>
                </c:pt>
                <c:pt idx="61">
                  <c:v>5.7590000000000002E-2</c:v>
                </c:pt>
                <c:pt idx="62">
                  <c:v>6.4229999999999995E-2</c:v>
                </c:pt>
                <c:pt idx="63">
                  <c:v>7.1889999999999996E-2</c:v>
                </c:pt>
                <c:pt idx="64">
                  <c:v>8.0729999999999996E-2</c:v>
                </c:pt>
                <c:pt idx="65">
                  <c:v>9.0899999999999995E-2</c:v>
                </c:pt>
                <c:pt idx="66">
                  <c:v>0.10258</c:v>
                </c:pt>
                <c:pt idx="67">
                  <c:v>0.11545</c:v>
                </c:pt>
                <c:pt idx="68">
                  <c:v>0.12959000000000001</c:v>
                </c:pt>
                <c:pt idx="69">
                  <c:v>0.14509</c:v>
                </c:pt>
                <c:pt idx="70">
                  <c:v>0.16203000000000001</c:v>
                </c:pt>
                <c:pt idx="71">
                  <c:v>0.18049000000000001</c:v>
                </c:pt>
                <c:pt idx="72">
                  <c:v>0.20057</c:v>
                </c:pt>
                <c:pt idx="73">
                  <c:v>0.22236</c:v>
                </c:pt>
                <c:pt idx="74">
                  <c:v>0.24593000000000001</c:v>
                </c:pt>
                <c:pt idx="75">
                  <c:v>0.27139999999999997</c:v>
                </c:pt>
                <c:pt idx="76">
                  <c:v>0.29881999999999997</c:v>
                </c:pt>
                <c:pt idx="77">
                  <c:v>0.32830999999999999</c:v>
                </c:pt>
                <c:pt idx="78">
                  <c:v>0.35993000000000003</c:v>
                </c:pt>
                <c:pt idx="79">
                  <c:v>0.39378000000000002</c:v>
                </c:pt>
                <c:pt idx="80">
                  <c:v>0.42993999999999999</c:v>
                </c:pt>
                <c:pt idx="81">
                  <c:v>0.46847</c:v>
                </c:pt>
                <c:pt idx="82">
                  <c:v>0.50946999999999998</c:v>
                </c:pt>
                <c:pt idx="83">
                  <c:v>0.55298999999999998</c:v>
                </c:pt>
                <c:pt idx="84">
                  <c:v>0.59911000000000003</c:v>
                </c:pt>
                <c:pt idx="85">
                  <c:v>0.64788999999999997</c:v>
                </c:pt>
                <c:pt idx="86">
                  <c:v>0.69938999999999996</c:v>
                </c:pt>
                <c:pt idx="87">
                  <c:v>0.75366999999999995</c:v>
                </c:pt>
                <c:pt idx="88">
                  <c:v>0.81076999999999999</c:v>
                </c:pt>
                <c:pt idx="89">
                  <c:v>0.87073999999999996</c:v>
                </c:pt>
                <c:pt idx="90">
                  <c:v>0.93362000000000001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46-40E4-AFDA-9EF8249E4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0832616"/>
        <c:axId val="820833008"/>
      </c:lineChart>
      <c:catAx>
        <c:axId val="820832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</a:defRPr>
                </a:pPr>
                <a:r>
                  <a:rPr lang="en-GB"/>
                  <a:t>Age</a:t>
                </a:r>
              </a:p>
            </c:rich>
          </c:tx>
          <c:overlay val="0"/>
          <c:spPr>
            <a:prstGeom prst="rect">
              <a:avLst/>
            </a:prstGeom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</a:defRPr>
            </a:pPr>
            <a:endParaRPr lang="en-US"/>
          </a:p>
        </c:txPr>
        <c:crossAx val="820833008"/>
        <c:crosses val="autoZero"/>
        <c:auto val="1"/>
        <c:lblAlgn val="ctr"/>
        <c:lblOffset val="100"/>
        <c:noMultiLvlLbl val="0"/>
      </c:catAx>
      <c:valAx>
        <c:axId val="820833008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</a:defRPr>
                </a:pPr>
                <a:r>
                  <a:rPr lang="en-GB"/>
                  <a:t>Probability of incidence</a:t>
                </a:r>
              </a:p>
            </c:rich>
          </c:tx>
          <c:overlay val="0"/>
          <c:spPr>
            <a:prstGeom prst="rect">
              <a:avLst/>
            </a:prstGeom>
            <a:noFill/>
            <a:ln>
              <a:noFill/>
            </a:ln>
          </c:spPr>
        </c:title>
        <c:numFmt formatCode="0.00000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</a:defRPr>
            </a:pPr>
            <a:endParaRPr lang="en-US"/>
          </a:p>
        </c:txPr>
        <c:crossAx val="820832616"/>
        <c:crosses val="autoZero"/>
        <c:crossBetween val="between"/>
      </c:valAx>
      <c:spPr>
        <a:prstGeom prst="rect">
          <a:avLst/>
        </a:prstGeom>
        <a:noFill/>
        <a:ln>
          <a:noFill/>
        </a:ln>
      </c:spPr>
    </c:plotArea>
    <c:legend>
      <c:legendPos val="b"/>
      <c:overlay val="0"/>
      <c:spPr>
        <a:prstGeom prst="rect">
          <a:avLst/>
        </a:prstGeom>
        <a:noFill/>
        <a:ln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</a:defRPr>
          </a:pPr>
          <a:endParaRPr lang="en-US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25400</xdr:colOff>
      <xdr:row>3</xdr:row>
      <xdr:rowOff>549275</xdr:rowOff>
    </xdr:from>
    <xdr:to>
      <xdr:col>14</xdr:col>
      <xdr:colOff>330200</xdr:colOff>
      <xdr:row>19</xdr:row>
      <xdr:rowOff>180975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584200</xdr:colOff>
      <xdr:row>4</xdr:row>
      <xdr:rowOff>3175</xdr:rowOff>
    </xdr:from>
    <xdr:to>
      <xdr:col>12</xdr:col>
      <xdr:colOff>412749</xdr:colOff>
      <xdr:row>19</xdr:row>
      <xdr:rowOff>79375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zoomScaleNormal="100" workbookViewId="0"/>
  </sheetViews>
  <sheetFormatPr defaultColWidth="8.90625" defaultRowHeight="14.5"/>
  <cols>
    <col min="1" max="1" width="29.90625" style="1" bestFit="1" customWidth="1"/>
    <col min="2" max="2" width="14" style="1" bestFit="1" customWidth="1"/>
    <col min="3" max="3" width="11.36328125" style="1" customWidth="1"/>
    <col min="4" max="4" width="10.453125" style="1" bestFit="1" customWidth="1"/>
    <col min="5" max="5" width="9.6328125" style="1" bestFit="1"/>
    <col min="6" max="16384" width="8.90625" style="1"/>
  </cols>
  <sheetData>
    <row r="1" spans="1:4">
      <c r="A1" s="2" t="s">
        <v>0</v>
      </c>
    </row>
    <row r="3" spans="1:4">
      <c r="A3" s="3" t="s">
        <v>1</v>
      </c>
    </row>
    <row r="4" spans="1:4" ht="58">
      <c r="A4" s="4" t="s">
        <v>2</v>
      </c>
      <c r="B4" s="5" t="s">
        <v>3</v>
      </c>
      <c r="C4" s="5" t="s">
        <v>4</v>
      </c>
      <c r="D4" s="5" t="s">
        <v>5</v>
      </c>
    </row>
    <row r="5" spans="1:4">
      <c r="A5" s="6">
        <v>30</v>
      </c>
      <c r="B5" s="7" t="s">
        <v>6</v>
      </c>
      <c r="C5" s="7">
        <v>30</v>
      </c>
      <c r="D5" s="8">
        <v>100000</v>
      </c>
    </row>
    <row r="6" spans="1:4">
      <c r="A6" s="6">
        <v>35</v>
      </c>
      <c r="B6" s="7" t="s">
        <v>6</v>
      </c>
      <c r="C6" s="7">
        <v>60</v>
      </c>
      <c r="D6" s="8">
        <v>10000</v>
      </c>
    </row>
    <row r="7" spans="1:4">
      <c r="A7" s="6">
        <v>40</v>
      </c>
      <c r="B7" s="7" t="s">
        <v>6</v>
      </c>
      <c r="C7" s="7">
        <v>150</v>
      </c>
      <c r="D7" s="8">
        <v>5000</v>
      </c>
    </row>
    <row r="8" spans="1:4">
      <c r="A8" s="6">
        <v>45</v>
      </c>
      <c r="B8" s="7" t="s">
        <v>6</v>
      </c>
      <c r="C8" s="7">
        <v>200</v>
      </c>
      <c r="D8" s="8">
        <v>200000</v>
      </c>
    </row>
    <row r="9" spans="1:4">
      <c r="A9" s="6">
        <v>50</v>
      </c>
      <c r="B9" s="7" t="s">
        <v>6</v>
      </c>
      <c r="C9" s="7">
        <v>100</v>
      </c>
      <c r="D9" s="8">
        <v>400000</v>
      </c>
    </row>
    <row r="10" spans="1:4">
      <c r="A10" s="6">
        <v>55</v>
      </c>
      <c r="B10" s="7" t="s">
        <v>6</v>
      </c>
      <c r="C10" s="7">
        <v>80</v>
      </c>
      <c r="D10" s="8">
        <v>300000</v>
      </c>
    </row>
    <row r="11" spans="1:4">
      <c r="A11" s="6">
        <v>30</v>
      </c>
      <c r="B11" s="7" t="s">
        <v>7</v>
      </c>
      <c r="C11" s="7">
        <v>20</v>
      </c>
      <c r="D11" s="8">
        <v>50000</v>
      </c>
    </row>
    <row r="12" spans="1:4">
      <c r="A12" s="6">
        <v>35</v>
      </c>
      <c r="B12" s="7" t="s">
        <v>7</v>
      </c>
      <c r="C12" s="7">
        <v>55</v>
      </c>
      <c r="D12" s="8">
        <v>75000</v>
      </c>
    </row>
    <row r="13" spans="1:4">
      <c r="A13" s="6">
        <v>40</v>
      </c>
      <c r="B13" s="7" t="s">
        <v>7</v>
      </c>
      <c r="C13" s="7">
        <v>250</v>
      </c>
      <c r="D13" s="8">
        <v>100000</v>
      </c>
    </row>
    <row r="14" spans="1:4">
      <c r="A14" s="6">
        <v>45</v>
      </c>
      <c r="B14" s="7" t="s">
        <v>7</v>
      </c>
      <c r="C14" s="7">
        <v>95</v>
      </c>
      <c r="D14" s="8">
        <v>300000</v>
      </c>
    </row>
    <row r="15" spans="1:4">
      <c r="A15" s="6">
        <v>50</v>
      </c>
      <c r="B15" s="7" t="s">
        <v>7</v>
      </c>
      <c r="C15" s="7">
        <v>60</v>
      </c>
      <c r="D15" s="8">
        <v>20000</v>
      </c>
    </row>
    <row r="16" spans="1:4">
      <c r="A16" s="6">
        <v>55</v>
      </c>
      <c r="B16" s="7" t="s">
        <v>7</v>
      </c>
      <c r="C16" s="7">
        <v>25</v>
      </c>
      <c r="D16" s="8">
        <v>10000</v>
      </c>
    </row>
    <row r="18" spans="1:4">
      <c r="A18" s="1" t="s">
        <v>8</v>
      </c>
      <c r="B18" s="1">
        <v>2022</v>
      </c>
    </row>
    <row r="19" spans="1:4">
      <c r="A19" s="1" t="s">
        <v>9</v>
      </c>
      <c r="B19" s="1">
        <v>30</v>
      </c>
    </row>
    <row r="22" spans="1:4">
      <c r="A22" s="3" t="s">
        <v>10</v>
      </c>
    </row>
    <row r="23" spans="1:4" ht="43.5">
      <c r="B23" s="18" t="s">
        <v>11</v>
      </c>
      <c r="C23" s="18" t="s">
        <v>12</v>
      </c>
      <c r="D23" s="18" t="s">
        <v>13</v>
      </c>
    </row>
    <row r="24" spans="1:4">
      <c r="A24" s="1" t="s">
        <v>14</v>
      </c>
      <c r="B24" s="1">
        <v>55</v>
      </c>
      <c r="C24" s="1">
        <v>60</v>
      </c>
      <c r="D24" s="1">
        <v>1000</v>
      </c>
    </row>
    <row r="25" spans="1:4">
      <c r="A25" s="1" t="s">
        <v>15</v>
      </c>
      <c r="B25" s="1">
        <v>60</v>
      </c>
      <c r="C25" s="1">
        <v>63</v>
      </c>
      <c r="D25" s="1">
        <v>500</v>
      </c>
    </row>
    <row r="27" spans="1:4" ht="29">
      <c r="A27" s="34" t="s">
        <v>72</v>
      </c>
      <c r="B27" s="1">
        <v>1000</v>
      </c>
    </row>
    <row r="28" spans="1:4">
      <c r="A28" s="1" t="s">
        <v>16</v>
      </c>
      <c r="B28" s="1">
        <v>115</v>
      </c>
    </row>
    <row r="31" spans="1:4">
      <c r="A31" s="3" t="s">
        <v>17</v>
      </c>
    </row>
    <row r="32" spans="1:4" ht="29">
      <c r="B32" s="18" t="s">
        <v>11</v>
      </c>
      <c r="C32" s="18" t="s">
        <v>18</v>
      </c>
    </row>
    <row r="33" spans="1:3">
      <c r="A33" s="1" t="s">
        <v>14</v>
      </c>
      <c r="B33" s="1">
        <v>40</v>
      </c>
      <c r="C33" s="1">
        <v>2000</v>
      </c>
    </row>
    <row r="34" spans="1:3">
      <c r="A34" s="1" t="s">
        <v>15</v>
      </c>
      <c r="B34" s="1">
        <v>35</v>
      </c>
      <c r="C34" s="1">
        <v>1500</v>
      </c>
    </row>
    <row r="36" spans="1:3">
      <c r="A36" s="1" t="s">
        <v>19</v>
      </c>
      <c r="B36" s="9">
        <v>100000</v>
      </c>
    </row>
    <row r="38" spans="1:3">
      <c r="A38" s="1" t="s">
        <v>9</v>
      </c>
      <c r="B38" s="1">
        <v>25</v>
      </c>
    </row>
    <row r="41" spans="1:3">
      <c r="A41" s="1" t="s">
        <v>20</v>
      </c>
      <c r="B41" s="10">
        <v>0.03</v>
      </c>
    </row>
    <row r="44" spans="1:3">
      <c r="A44" s="3" t="s">
        <v>21</v>
      </c>
    </row>
    <row r="46" spans="1:3">
      <c r="A46" s="32" t="s">
        <v>75</v>
      </c>
      <c r="B46" s="1">
        <v>10</v>
      </c>
    </row>
    <row r="49" spans="1:5">
      <c r="A49" s="3" t="s">
        <v>22</v>
      </c>
    </row>
    <row r="51" spans="1:5">
      <c r="A51" s="32" t="s">
        <v>1</v>
      </c>
      <c r="B51" s="10">
        <v>0.2</v>
      </c>
      <c r="C51" s="1" t="s">
        <v>23</v>
      </c>
    </row>
    <row r="52" spans="1:5">
      <c r="A52" s="1" t="s">
        <v>10</v>
      </c>
      <c r="B52" s="10">
        <v>0.15</v>
      </c>
      <c r="C52" s="1" t="s">
        <v>24</v>
      </c>
    </row>
    <row r="53" spans="1:5">
      <c r="A53" s="1" t="s">
        <v>17</v>
      </c>
      <c r="B53" s="10">
        <v>0.25</v>
      </c>
      <c r="C53" s="1" t="s">
        <v>25</v>
      </c>
    </row>
    <row r="54" spans="1:5">
      <c r="A54" s="1" t="s">
        <v>21</v>
      </c>
      <c r="B54" s="10">
        <v>0.1</v>
      </c>
      <c r="C54" s="1" t="s">
        <v>26</v>
      </c>
    </row>
    <row r="56" spans="1:5">
      <c r="A56" s="3" t="s">
        <v>27</v>
      </c>
    </row>
    <row r="57" spans="1:5">
      <c r="C57" s="30"/>
    </row>
    <row r="58" spans="1:5">
      <c r="A58" s="11"/>
      <c r="B58" s="12" t="s">
        <v>28</v>
      </c>
      <c r="C58" s="50"/>
      <c r="D58" s="13"/>
      <c r="E58" s="13"/>
    </row>
    <row r="59" spans="1:5">
      <c r="A59" s="11" t="s">
        <v>29</v>
      </c>
      <c r="B59" s="14">
        <v>0.4</v>
      </c>
      <c r="C59" s="51"/>
      <c r="D59" s="13"/>
      <c r="E59" s="13"/>
    </row>
    <row r="60" spans="1:5">
      <c r="A60" s="15" t="s">
        <v>10</v>
      </c>
      <c r="B60" s="16">
        <v>-0.25</v>
      </c>
      <c r="C60" s="31"/>
    </row>
    <row r="61" spans="1:5">
      <c r="A61" s="15" t="s">
        <v>30</v>
      </c>
      <c r="B61" s="16">
        <v>0.4</v>
      </c>
      <c r="C61" s="31"/>
    </row>
    <row r="62" spans="1:5">
      <c r="A62" s="30"/>
      <c r="B62" s="31"/>
      <c r="C62" s="31"/>
    </row>
    <row r="64" spans="1:5">
      <c r="A64" s="32" t="s">
        <v>77</v>
      </c>
      <c r="B64" s="10">
        <v>1</v>
      </c>
    </row>
    <row r="65" spans="2:2">
      <c r="B65" s="17"/>
    </row>
  </sheetData>
  <printOptions gridLines="1"/>
  <pageMargins left="0.7" right="0.7" top="0.75" bottom="0.7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2"/>
  <sheetViews>
    <sheetView zoomScaleNormal="100" workbookViewId="0"/>
  </sheetViews>
  <sheetFormatPr defaultRowHeight="14.5"/>
  <cols>
    <col min="1" max="1" width="8.90625" style="103"/>
    <col min="2" max="2" width="10.7265625" style="32" bestFit="1" customWidth="1"/>
    <col min="3" max="3" width="10.7265625" style="105" bestFit="1" customWidth="1"/>
    <col min="4" max="4" width="12.08984375" style="107" customWidth="1"/>
    <col min="5" max="5" width="12.08984375" style="103" customWidth="1"/>
    <col min="6" max="7" width="10.7265625" style="32" bestFit="1" customWidth="1"/>
    <col min="8" max="16384" width="8.7265625" style="32"/>
  </cols>
  <sheetData>
    <row r="1" spans="1:7">
      <c r="A1" s="99" t="s">
        <v>31</v>
      </c>
    </row>
    <row r="3" spans="1:7">
      <c r="B3" s="110" t="s">
        <v>32</v>
      </c>
      <c r="C3" s="110"/>
      <c r="D3" s="111" t="s">
        <v>71</v>
      </c>
      <c r="E3" s="112"/>
      <c r="F3" s="110" t="s">
        <v>33</v>
      </c>
      <c r="G3" s="110"/>
    </row>
    <row r="4" spans="1:7" s="34" customFormat="1" ht="43.5">
      <c r="A4" s="36" t="s">
        <v>34</v>
      </c>
      <c r="B4" s="34" t="s">
        <v>35</v>
      </c>
      <c r="C4" s="85" t="s">
        <v>36</v>
      </c>
      <c r="D4" s="108" t="s">
        <v>35</v>
      </c>
      <c r="E4" s="36" t="s">
        <v>36</v>
      </c>
      <c r="F4" s="34" t="s">
        <v>35</v>
      </c>
      <c r="G4" s="34" t="s">
        <v>36</v>
      </c>
    </row>
    <row r="5" spans="1:7">
      <c r="A5" s="103">
        <v>23</v>
      </c>
      <c r="B5" s="104">
        <v>8.2600000000000002E-4</v>
      </c>
      <c r="C5" s="104">
        <v>3.3100000000000002E-4</v>
      </c>
      <c r="D5" s="109">
        <f>MIN(B5*(1+Parameters!$B$51),1)</f>
        <v>9.9120000000000002E-4</v>
      </c>
      <c r="E5" s="106">
        <f>MIN(C5*(1+Parameters!$B$51),1)</f>
        <v>3.9720000000000001E-4</v>
      </c>
      <c r="F5" s="104">
        <f>IF(A5&gt;=Parameters!$B$28,1,MIN(B5*(1-Parameters!$B$52),1))</f>
        <v>7.0209999999999999E-4</v>
      </c>
      <c r="G5" s="104">
        <f>IF(A5&gt;=Parameters!$B$28,1,MIN(C5*(1-Parameters!$B$52),1))</f>
        <v>2.8135000000000004E-4</v>
      </c>
    </row>
    <row r="6" spans="1:7">
      <c r="A6" s="103">
        <v>24</v>
      </c>
      <c r="B6" s="104">
        <v>8.3500000000000002E-4</v>
      </c>
      <c r="C6" s="104">
        <v>3.6200000000000002E-4</v>
      </c>
      <c r="D6" s="109">
        <f>MIN(B6*(1+Parameters!$B$51),1)</f>
        <v>1.0020000000000001E-3</v>
      </c>
      <c r="E6" s="106">
        <f>MIN(C6*(1+Parameters!$B$51),1)</f>
        <v>4.3439999999999999E-4</v>
      </c>
      <c r="F6" s="104">
        <f>IF(A6&gt;=Parameters!$B$28,1,MIN(B6*(1-Parameters!$B$52),1))</f>
        <v>7.0974999999999999E-4</v>
      </c>
      <c r="G6" s="104">
        <f>IF(A6&gt;=Parameters!$B$28,1,MIN(C6*(1-Parameters!$B$52),1))</f>
        <v>3.077E-4</v>
      </c>
    </row>
    <row r="7" spans="1:7">
      <c r="A7" s="103">
        <v>25</v>
      </c>
      <c r="B7" s="104">
        <v>8.43E-4</v>
      </c>
      <c r="C7" s="104">
        <v>3.9500000000000001E-4</v>
      </c>
      <c r="D7" s="109">
        <f>MIN(B7*(1+Parameters!$B$51),1)</f>
        <v>1.0115999999999999E-3</v>
      </c>
      <c r="E7" s="106">
        <f>MIN(C7*(1+Parameters!$B$51),1)</f>
        <v>4.7399999999999997E-4</v>
      </c>
      <c r="F7" s="104">
        <f>IF(A7&gt;=Parameters!$B$28,1,MIN(B7*(1-Parameters!$B$52),1))</f>
        <v>7.1654999999999993E-4</v>
      </c>
      <c r="G7" s="104">
        <f>IF(A7&gt;=Parameters!$B$28,1,MIN(C7*(1-Parameters!$B$52),1))</f>
        <v>3.3575E-4</v>
      </c>
    </row>
    <row r="8" spans="1:7">
      <c r="A8" s="103">
        <v>26</v>
      </c>
      <c r="B8" s="104">
        <v>8.5099999999999998E-4</v>
      </c>
      <c r="C8" s="104">
        <v>4.3199999999999998E-4</v>
      </c>
      <c r="D8" s="109">
        <f>MIN(B8*(1+Parameters!$B$51),1)</f>
        <v>1.0211999999999999E-3</v>
      </c>
      <c r="E8" s="106">
        <f>MIN(C8*(1+Parameters!$B$51),1)</f>
        <v>5.1839999999999992E-4</v>
      </c>
      <c r="F8" s="104">
        <f>IF(A8&gt;=Parameters!$B$28,1,MIN(B8*(1-Parameters!$B$52),1))</f>
        <v>7.2334999999999999E-4</v>
      </c>
      <c r="G8" s="104">
        <f>IF(A8&gt;=Parameters!$B$28,1,MIN(C8*(1-Parameters!$B$52),1))</f>
        <v>3.6719999999999998E-4</v>
      </c>
    </row>
    <row r="9" spans="1:7">
      <c r="A9" s="103">
        <v>27</v>
      </c>
      <c r="B9" s="104">
        <v>8.5999999999999998E-4</v>
      </c>
      <c r="C9" s="104">
        <v>4.7199999999999998E-4</v>
      </c>
      <c r="D9" s="109">
        <f>MIN(B9*(1+Parameters!$B$51),1)</f>
        <v>1.0319999999999999E-3</v>
      </c>
      <c r="E9" s="106">
        <f>MIN(C9*(1+Parameters!$B$51),1)</f>
        <v>5.664E-4</v>
      </c>
      <c r="F9" s="104">
        <f>IF(A9&gt;=Parameters!$B$28,1,MIN(B9*(1-Parameters!$B$52),1))</f>
        <v>7.3099999999999999E-4</v>
      </c>
      <c r="G9" s="104">
        <f>IF(A9&gt;=Parameters!$B$28,1,MIN(C9*(1-Parameters!$B$52),1))</f>
        <v>4.0119999999999999E-4</v>
      </c>
    </row>
    <row r="10" spans="1:7">
      <c r="A10" s="103">
        <v>28</v>
      </c>
      <c r="B10" s="104">
        <v>8.6899999999999998E-4</v>
      </c>
      <c r="C10" s="104">
        <v>5.1599999999999997E-4</v>
      </c>
      <c r="D10" s="109">
        <f>MIN(B10*(1+Parameters!$B$51),1)</f>
        <v>1.0428E-3</v>
      </c>
      <c r="E10" s="106">
        <f>MIN(C10*(1+Parameters!$B$51),1)</f>
        <v>6.1919999999999998E-4</v>
      </c>
      <c r="F10" s="104">
        <f>IF(A10&gt;=Parameters!$B$28,1,MIN(B10*(1-Parameters!$B$52),1))</f>
        <v>7.3864999999999998E-4</v>
      </c>
      <c r="G10" s="104">
        <f>IF(A10&gt;=Parameters!$B$28,1,MIN(C10*(1-Parameters!$B$52),1))</f>
        <v>4.3859999999999998E-4</v>
      </c>
    </row>
    <row r="11" spans="1:7">
      <c r="A11" s="103">
        <v>29</v>
      </c>
      <c r="B11" s="104">
        <v>8.7799999999999998E-4</v>
      </c>
      <c r="C11" s="104">
        <v>5.6400000000000005E-4</v>
      </c>
      <c r="D11" s="109">
        <f>MIN(B11*(1+Parameters!$B$51),1)</f>
        <v>1.0536E-3</v>
      </c>
      <c r="E11" s="106">
        <f>MIN(C11*(1+Parameters!$B$51),1)</f>
        <v>6.7680000000000008E-4</v>
      </c>
      <c r="F11" s="104">
        <f>IF(A11&gt;=Parameters!$B$28,1,MIN(B11*(1-Parameters!$B$52),1))</f>
        <v>7.4629999999999998E-4</v>
      </c>
      <c r="G11" s="104">
        <f>IF(A11&gt;=Parameters!$B$28,1,MIN(C11*(1-Parameters!$B$52),1))</f>
        <v>4.7940000000000005E-4</v>
      </c>
    </row>
    <row r="12" spans="1:7">
      <c r="A12" s="103">
        <v>30</v>
      </c>
      <c r="B12" s="104">
        <v>8.8599999999999996E-4</v>
      </c>
      <c r="C12" s="104">
        <v>6.1600000000000001E-4</v>
      </c>
      <c r="D12" s="109">
        <f>MIN(B12*(1+Parameters!$B$51),1)</f>
        <v>1.0631999999999998E-3</v>
      </c>
      <c r="E12" s="106">
        <f>MIN(C12*(1+Parameters!$B$51),1)</f>
        <v>7.3919999999999997E-4</v>
      </c>
      <c r="F12" s="104">
        <f>IF(A12&gt;=Parameters!$B$28,1,MIN(B12*(1-Parameters!$B$52),1))</f>
        <v>7.5309999999999993E-4</v>
      </c>
      <c r="G12" s="104">
        <f>IF(A12&gt;=Parameters!$B$28,1,MIN(C12*(1-Parameters!$B$52),1))</f>
        <v>5.2360000000000004E-4</v>
      </c>
    </row>
    <row r="13" spans="1:7">
      <c r="A13" s="103">
        <v>31</v>
      </c>
      <c r="B13" s="104">
        <v>9.0399999999999996E-4</v>
      </c>
      <c r="C13" s="104">
        <v>6.7299999999999999E-4</v>
      </c>
      <c r="D13" s="109">
        <f>MIN(B13*(1+Parameters!$B$51),1)</f>
        <v>1.0847999999999999E-3</v>
      </c>
      <c r="E13" s="106">
        <f>MIN(C13*(1+Parameters!$B$51),1)</f>
        <v>8.0760000000000001E-4</v>
      </c>
      <c r="F13" s="104">
        <f>IF(A13&gt;=Parameters!$B$28,1,MIN(B13*(1-Parameters!$B$52),1))</f>
        <v>7.6839999999999992E-4</v>
      </c>
      <c r="G13" s="104">
        <f>IF(A13&gt;=Parameters!$B$28,1,MIN(C13*(1-Parameters!$B$52),1))</f>
        <v>5.7204999999999995E-4</v>
      </c>
    </row>
    <row r="14" spans="1:7">
      <c r="A14" s="103">
        <v>32</v>
      </c>
      <c r="B14" s="104">
        <v>9.3199999999999999E-4</v>
      </c>
      <c r="C14" s="104">
        <v>7.36E-4</v>
      </c>
      <c r="D14" s="109">
        <f>MIN(B14*(1+Parameters!$B$51),1)</f>
        <v>1.1183999999999999E-3</v>
      </c>
      <c r="E14" s="106">
        <f>MIN(C14*(1+Parameters!$B$51),1)</f>
        <v>8.832E-4</v>
      </c>
      <c r="F14" s="104">
        <f>IF(A14&gt;=Parameters!$B$28,1,MIN(B14*(1-Parameters!$B$52),1))</f>
        <v>7.9219999999999996E-4</v>
      </c>
      <c r="G14" s="104">
        <f>IF(A14&gt;=Parameters!$B$28,1,MIN(C14*(1-Parameters!$B$52),1))</f>
        <v>6.2560000000000003E-4</v>
      </c>
    </row>
    <row r="15" spans="1:7">
      <c r="A15" s="103">
        <v>33</v>
      </c>
      <c r="B15" s="104">
        <v>9.6100000000000005E-4</v>
      </c>
      <c r="C15" s="104">
        <v>8.0400000000000003E-4</v>
      </c>
      <c r="D15" s="109">
        <f>MIN(B15*(1+Parameters!$B$51),1)</f>
        <v>1.1532000000000001E-3</v>
      </c>
      <c r="E15" s="106">
        <f>MIN(C15*(1+Parameters!$B$51),1)</f>
        <v>9.6480000000000003E-4</v>
      </c>
      <c r="F15" s="104">
        <f>IF(A15&gt;=Parameters!$B$28,1,MIN(B15*(1-Parameters!$B$52),1))</f>
        <v>8.1685000000000004E-4</v>
      </c>
      <c r="G15" s="104">
        <f>IF(A15&gt;=Parameters!$B$28,1,MIN(C15*(1-Parameters!$B$52),1))</f>
        <v>6.8340000000000002E-4</v>
      </c>
    </row>
    <row r="16" spans="1:7">
      <c r="A16" s="103">
        <v>34</v>
      </c>
      <c r="B16" s="104">
        <v>9.9099999999999991E-4</v>
      </c>
      <c r="C16" s="104">
        <v>8.7900000000000001E-4</v>
      </c>
      <c r="D16" s="109">
        <f>MIN(B16*(1+Parameters!$B$51),1)</f>
        <v>1.1891999999999998E-3</v>
      </c>
      <c r="E16" s="106">
        <f>MIN(C16*(1+Parameters!$B$51),1)</f>
        <v>1.0548000000000001E-3</v>
      </c>
      <c r="F16" s="104">
        <f>IF(A16&gt;=Parameters!$B$28,1,MIN(B16*(1-Parameters!$B$52),1))</f>
        <v>8.4234999999999985E-4</v>
      </c>
      <c r="G16" s="104">
        <f>IF(A16&gt;=Parameters!$B$28,1,MIN(C16*(1-Parameters!$B$52),1))</f>
        <v>7.4715000000000003E-4</v>
      </c>
    </row>
    <row r="17" spans="1:7">
      <c r="A17" s="103">
        <v>35</v>
      </c>
      <c r="B17" s="104">
        <v>1.0219999999999999E-3</v>
      </c>
      <c r="C17" s="104">
        <v>9.6100000000000005E-4</v>
      </c>
      <c r="D17" s="109">
        <f>MIN(B17*(1+Parameters!$B$51),1)</f>
        <v>1.2263999999999999E-3</v>
      </c>
      <c r="E17" s="106">
        <f>MIN(C17*(1+Parameters!$B$51),1)</f>
        <v>1.1532000000000001E-3</v>
      </c>
      <c r="F17" s="104">
        <f>IF(A17&gt;=Parameters!$B$28,1,MIN(B17*(1-Parameters!$B$52),1))</f>
        <v>8.6869999999999992E-4</v>
      </c>
      <c r="G17" s="104">
        <f>IF(A17&gt;=Parameters!$B$28,1,MIN(C17*(1-Parameters!$B$52),1))</f>
        <v>8.1685000000000004E-4</v>
      </c>
    </row>
    <row r="18" spans="1:7">
      <c r="A18" s="103">
        <v>36</v>
      </c>
      <c r="B18" s="104">
        <v>1.0529999999999999E-3</v>
      </c>
      <c r="C18" s="104">
        <v>1.0499999999999999E-3</v>
      </c>
      <c r="D18" s="109">
        <f>MIN(B18*(1+Parameters!$B$51),1)</f>
        <v>1.2635999999999999E-3</v>
      </c>
      <c r="E18" s="106">
        <f>MIN(C18*(1+Parameters!$B$51),1)</f>
        <v>1.2599999999999998E-3</v>
      </c>
      <c r="F18" s="104">
        <f>IF(A18&gt;=Parameters!$B$28,1,MIN(B18*(1-Parameters!$B$52),1))</f>
        <v>8.9504999999999988E-4</v>
      </c>
      <c r="G18" s="104">
        <f>IF(A18&gt;=Parameters!$B$28,1,MIN(C18*(1-Parameters!$B$52),1))</f>
        <v>8.9249999999999996E-4</v>
      </c>
    </row>
    <row r="19" spans="1:7">
      <c r="A19" s="103">
        <v>37</v>
      </c>
      <c r="B19" s="104">
        <v>1.0859999999999999E-3</v>
      </c>
      <c r="C19" s="104">
        <v>1.147E-3</v>
      </c>
      <c r="D19" s="109">
        <f>MIN(B19*(1+Parameters!$B$51),1)</f>
        <v>1.3031999999999998E-3</v>
      </c>
      <c r="E19" s="106">
        <f>MIN(C19*(1+Parameters!$B$51),1)</f>
        <v>1.3764000000000001E-3</v>
      </c>
      <c r="F19" s="104">
        <f>IF(A19&gt;=Parameters!$B$28,1,MIN(B19*(1-Parameters!$B$52),1))</f>
        <v>9.2309999999999994E-4</v>
      </c>
      <c r="G19" s="104">
        <f>IF(A19&gt;=Parameters!$B$28,1,MIN(C19*(1-Parameters!$B$52),1))</f>
        <v>9.7495000000000004E-4</v>
      </c>
    </row>
    <row r="20" spans="1:7">
      <c r="A20" s="103">
        <v>38</v>
      </c>
      <c r="B20" s="104">
        <v>1.119E-3</v>
      </c>
      <c r="C20" s="104">
        <v>1.2539999999999999E-3</v>
      </c>
      <c r="D20" s="109">
        <f>MIN(B20*(1+Parameters!$B$51),1)</f>
        <v>1.3427999999999999E-3</v>
      </c>
      <c r="E20" s="106">
        <f>MIN(C20*(1+Parameters!$B$51),1)</f>
        <v>1.5047999999999999E-3</v>
      </c>
      <c r="F20" s="104">
        <f>IF(A20&gt;=Parameters!$B$28,1,MIN(B20*(1-Parameters!$B$52),1))</f>
        <v>9.5115E-4</v>
      </c>
      <c r="G20" s="104">
        <f>IF(A20&gt;=Parameters!$B$28,1,MIN(C20*(1-Parameters!$B$52),1))</f>
        <v>1.0658999999999998E-3</v>
      </c>
    </row>
    <row r="21" spans="1:7">
      <c r="A21" s="103">
        <v>39</v>
      </c>
      <c r="B21" s="104">
        <v>1.1659999999999999E-3</v>
      </c>
      <c r="C21" s="104">
        <v>1.348E-3</v>
      </c>
      <c r="D21" s="109">
        <f>MIN(B21*(1+Parameters!$B$51),1)</f>
        <v>1.3992E-3</v>
      </c>
      <c r="E21" s="106">
        <f>MIN(C21*(1+Parameters!$B$51),1)</f>
        <v>1.6176000000000001E-3</v>
      </c>
      <c r="F21" s="104">
        <f>IF(A21&gt;=Parameters!$B$28,1,MIN(B21*(1-Parameters!$B$52),1))</f>
        <v>9.9109999999999997E-4</v>
      </c>
      <c r="G21" s="104">
        <f>IF(A21&gt;=Parameters!$B$28,1,MIN(C21*(1-Parameters!$B$52),1))</f>
        <v>1.1458E-3</v>
      </c>
    </row>
    <row r="22" spans="1:7">
      <c r="A22" s="103">
        <v>40</v>
      </c>
      <c r="B22" s="104">
        <v>1.206E-3</v>
      </c>
      <c r="C22" s="104">
        <v>1.4499999999999999E-3</v>
      </c>
      <c r="D22" s="109">
        <f>MIN(B22*(1+Parameters!$B$51),1)</f>
        <v>1.4472E-3</v>
      </c>
      <c r="E22" s="106">
        <f>MIN(C22*(1+Parameters!$B$51),1)</f>
        <v>1.7399999999999998E-3</v>
      </c>
      <c r="F22" s="104">
        <f>IF(A22&gt;=Parameters!$B$28,1,MIN(B22*(1-Parameters!$B$52),1))</f>
        <v>1.0250999999999999E-3</v>
      </c>
      <c r="G22" s="104">
        <f>IF(A22&gt;=Parameters!$B$28,1,MIN(C22*(1-Parameters!$B$52),1))</f>
        <v>1.2324999999999999E-3</v>
      </c>
    </row>
    <row r="23" spans="1:7">
      <c r="A23" s="103">
        <v>41</v>
      </c>
      <c r="B23" s="104">
        <v>1.2570000000000001E-3</v>
      </c>
      <c r="C23" s="104">
        <v>1.5579999999999999E-3</v>
      </c>
      <c r="D23" s="109">
        <f>MIN(B23*(1+Parameters!$B$51),1)</f>
        <v>1.5084E-3</v>
      </c>
      <c r="E23" s="106">
        <f>MIN(C23*(1+Parameters!$B$51),1)</f>
        <v>1.8695999999999999E-3</v>
      </c>
      <c r="F23" s="104">
        <f>IF(A23&gt;=Parameters!$B$28,1,MIN(B23*(1-Parameters!$B$52),1))</f>
        <v>1.0684500000000001E-3</v>
      </c>
      <c r="G23" s="104">
        <f>IF(A23&gt;=Parameters!$B$28,1,MIN(C23*(1-Parameters!$B$52),1))</f>
        <v>1.3242999999999998E-3</v>
      </c>
    </row>
    <row r="24" spans="1:7">
      <c r="A24" s="103">
        <v>42</v>
      </c>
      <c r="B24" s="104">
        <v>1.3209999999999999E-3</v>
      </c>
      <c r="C24" s="104">
        <v>1.6750000000000001E-3</v>
      </c>
      <c r="D24" s="109">
        <f>MIN(B24*(1+Parameters!$B$51),1)</f>
        <v>1.5851999999999999E-3</v>
      </c>
      <c r="E24" s="106">
        <f>MIN(C24*(1+Parameters!$B$51),1)</f>
        <v>2.0100000000000001E-3</v>
      </c>
      <c r="F24" s="104">
        <f>IF(A24&gt;=Parameters!$B$28,1,MIN(B24*(1-Parameters!$B$52),1))</f>
        <v>1.1228499999999999E-3</v>
      </c>
      <c r="G24" s="104">
        <f>IF(A24&gt;=Parameters!$B$28,1,MIN(C24*(1-Parameters!$B$52),1))</f>
        <v>1.4237500000000001E-3</v>
      </c>
    </row>
    <row r="25" spans="1:7">
      <c r="A25" s="103">
        <v>43</v>
      </c>
      <c r="B25" s="104">
        <v>1.3990000000000001E-3</v>
      </c>
      <c r="C25" s="104">
        <v>1.802E-3</v>
      </c>
      <c r="D25" s="109">
        <f>MIN(B25*(1+Parameters!$B$51),1)</f>
        <v>1.6788E-3</v>
      </c>
      <c r="E25" s="106">
        <f>MIN(C25*(1+Parameters!$B$51),1)</f>
        <v>2.1624000000000001E-3</v>
      </c>
      <c r="F25" s="104">
        <f>IF(A25&gt;=Parameters!$B$28,1,MIN(B25*(1-Parameters!$B$52),1))</f>
        <v>1.1891499999999999E-3</v>
      </c>
      <c r="G25" s="104">
        <f>IF(A25&gt;=Parameters!$B$28,1,MIN(C25*(1-Parameters!$B$52),1))</f>
        <v>1.5317E-3</v>
      </c>
    </row>
    <row r="26" spans="1:7">
      <c r="A26" s="103">
        <v>44</v>
      </c>
      <c r="B26" s="104">
        <v>1.4909999999999999E-3</v>
      </c>
      <c r="C26" s="104">
        <v>1.9380000000000001E-3</v>
      </c>
      <c r="D26" s="109">
        <f>MIN(B26*(1+Parameters!$B$51),1)</f>
        <v>1.7891999999999999E-3</v>
      </c>
      <c r="E26" s="106">
        <f>MIN(C26*(1+Parameters!$B$51),1)</f>
        <v>2.3256000000000001E-3</v>
      </c>
      <c r="F26" s="104">
        <f>IF(A26&gt;=Parameters!$B$28,1,MIN(B26*(1-Parameters!$B$52),1))</f>
        <v>1.26735E-3</v>
      </c>
      <c r="G26" s="104">
        <f>IF(A26&gt;=Parameters!$B$28,1,MIN(C26*(1-Parameters!$B$52),1))</f>
        <v>1.6473E-3</v>
      </c>
    </row>
    <row r="27" spans="1:7">
      <c r="A27" s="103">
        <v>45</v>
      </c>
      <c r="B27" s="104">
        <v>1.6000000000000001E-3</v>
      </c>
      <c r="C27" s="104">
        <v>2.0860000000000002E-3</v>
      </c>
      <c r="D27" s="109">
        <f>MIN(B27*(1+Parameters!$B$51),1)</f>
        <v>1.92E-3</v>
      </c>
      <c r="E27" s="106">
        <f>MIN(C27*(1+Parameters!$B$51),1)</f>
        <v>2.5032000000000001E-3</v>
      </c>
      <c r="F27" s="104">
        <f>IF(A27&gt;=Parameters!$B$28,1,MIN(B27*(1-Parameters!$B$52),1))</f>
        <v>1.3600000000000001E-3</v>
      </c>
      <c r="G27" s="104">
        <f>IF(A27&gt;=Parameters!$B$28,1,MIN(C27*(1-Parameters!$B$52),1))</f>
        <v>1.7731000000000001E-3</v>
      </c>
    </row>
    <row r="28" spans="1:7">
      <c r="A28" s="103">
        <v>46</v>
      </c>
      <c r="B28" s="104">
        <v>1.7260000000000001E-3</v>
      </c>
      <c r="C28" s="104">
        <v>2.2439999999999999E-3</v>
      </c>
      <c r="D28" s="109">
        <f>MIN(B28*(1+Parameters!$B$51),1)</f>
        <v>2.0712E-3</v>
      </c>
      <c r="E28" s="106">
        <f>MIN(C28*(1+Parameters!$B$51),1)</f>
        <v>2.6928E-3</v>
      </c>
      <c r="F28" s="104">
        <f>IF(A28&gt;=Parameters!$B$28,1,MIN(B28*(1-Parameters!$B$52),1))</f>
        <v>1.4671E-3</v>
      </c>
      <c r="G28" s="104">
        <f>IF(A28&gt;=Parameters!$B$28,1,MIN(C28*(1-Parameters!$B$52),1))</f>
        <v>1.9073999999999999E-3</v>
      </c>
    </row>
    <row r="29" spans="1:7">
      <c r="A29" s="103">
        <v>47</v>
      </c>
      <c r="B29" s="104">
        <v>1.8730000000000001E-3</v>
      </c>
      <c r="C29" s="104">
        <v>2.4139999999999999E-3</v>
      </c>
      <c r="D29" s="109">
        <f>MIN(B29*(1+Parameters!$B$51),1)</f>
        <v>2.2476000000000002E-3</v>
      </c>
      <c r="E29" s="106">
        <f>MIN(C29*(1+Parameters!$B$51),1)</f>
        <v>2.8967999999999997E-3</v>
      </c>
      <c r="F29" s="104">
        <f>IF(A29&gt;=Parameters!$B$28,1,MIN(B29*(1-Parameters!$B$52),1))</f>
        <v>1.59205E-3</v>
      </c>
      <c r="G29" s="104">
        <f>IF(A29&gt;=Parameters!$B$28,1,MIN(C29*(1-Parameters!$B$52),1))</f>
        <v>2.0518999999999997E-3</v>
      </c>
    </row>
    <row r="30" spans="1:7">
      <c r="A30" s="103">
        <v>48</v>
      </c>
      <c r="B30" s="104">
        <v>2.0409999999999998E-3</v>
      </c>
      <c r="C30" s="104">
        <v>2.5959999999999998E-3</v>
      </c>
      <c r="D30" s="109">
        <f>MIN(B30*(1+Parameters!$B$51),1)</f>
        <v>2.4491999999999999E-3</v>
      </c>
      <c r="E30" s="106">
        <f>MIN(C30*(1+Parameters!$B$51),1)</f>
        <v>3.1151999999999998E-3</v>
      </c>
      <c r="F30" s="104">
        <f>IF(A30&gt;=Parameters!$B$28,1,MIN(B30*(1-Parameters!$B$52),1))</f>
        <v>1.7348499999999998E-3</v>
      </c>
      <c r="G30" s="104">
        <f>IF(A30&gt;=Parameters!$B$28,1,MIN(C30*(1-Parameters!$B$52),1))</f>
        <v>2.2066E-3</v>
      </c>
    </row>
    <row r="31" spans="1:7">
      <c r="A31" s="103">
        <v>49</v>
      </c>
      <c r="B31" s="104">
        <v>2.2339999999999999E-3</v>
      </c>
      <c r="C31" s="104">
        <v>2.7889999999999998E-3</v>
      </c>
      <c r="D31" s="109">
        <f>MIN(B31*(1+Parameters!$B$51),1)</f>
        <v>2.6807999999999997E-3</v>
      </c>
      <c r="E31" s="106">
        <f>MIN(C31*(1+Parameters!$B$51),1)</f>
        <v>3.3467999999999996E-3</v>
      </c>
      <c r="F31" s="104">
        <f>IF(A31&gt;=Parameters!$B$28,1,MIN(B31*(1-Parameters!$B$52),1))</f>
        <v>1.8988999999999998E-3</v>
      </c>
      <c r="G31" s="104">
        <f>IF(A31&gt;=Parameters!$B$28,1,MIN(C31*(1-Parameters!$B$52),1))</f>
        <v>2.3706499999999998E-3</v>
      </c>
    </row>
    <row r="32" spans="1:7">
      <c r="A32" s="103">
        <v>50</v>
      </c>
      <c r="B32" s="104">
        <v>2.454E-3</v>
      </c>
      <c r="C32" s="104">
        <v>2.9940000000000001E-3</v>
      </c>
      <c r="D32" s="109">
        <f>MIN(B32*(1+Parameters!$B$51),1)</f>
        <v>2.9448E-3</v>
      </c>
      <c r="E32" s="106">
        <f>MIN(C32*(1+Parameters!$B$51),1)</f>
        <v>3.5928000000000002E-3</v>
      </c>
      <c r="F32" s="104">
        <f>IF(A32&gt;=Parameters!$B$28,1,MIN(B32*(1-Parameters!$B$52),1))</f>
        <v>2.0858999999999999E-3</v>
      </c>
      <c r="G32" s="104">
        <f>IF(A32&gt;=Parameters!$B$28,1,MIN(C32*(1-Parameters!$B$52),1))</f>
        <v>2.5449000000000001E-3</v>
      </c>
    </row>
    <row r="33" spans="1:7">
      <c r="A33" s="103">
        <v>51</v>
      </c>
      <c r="B33" s="104">
        <v>2.7039999999999998E-3</v>
      </c>
      <c r="C33" s="104">
        <v>3.2109999999999999E-3</v>
      </c>
      <c r="D33" s="109">
        <f>MIN(B33*(1+Parameters!$B$51),1)</f>
        <v>3.2447999999999995E-3</v>
      </c>
      <c r="E33" s="106">
        <f>MIN(C33*(1+Parameters!$B$51),1)</f>
        <v>3.8531999999999998E-3</v>
      </c>
      <c r="F33" s="104">
        <f>IF(A33&gt;=Parameters!$B$28,1,MIN(B33*(1-Parameters!$B$52),1))</f>
        <v>2.2983999999999999E-3</v>
      </c>
      <c r="G33" s="104">
        <f>IF(A33&gt;=Parameters!$B$28,1,MIN(C33*(1-Parameters!$B$52),1))</f>
        <v>2.7293499999999997E-3</v>
      </c>
    </row>
    <row r="34" spans="1:7">
      <c r="A34" s="103">
        <v>52</v>
      </c>
      <c r="B34" s="104">
        <v>2.9880000000000002E-3</v>
      </c>
      <c r="C34" s="104">
        <v>3.4390000000000002E-3</v>
      </c>
      <c r="D34" s="109">
        <f>MIN(B34*(1+Parameters!$B$51),1)</f>
        <v>3.5856E-3</v>
      </c>
      <c r="E34" s="106">
        <f>MIN(C34*(1+Parameters!$B$51),1)</f>
        <v>4.1267999999999999E-3</v>
      </c>
      <c r="F34" s="104">
        <f>IF(A34&gt;=Parameters!$B$28,1,MIN(B34*(1-Parameters!$B$52),1))</f>
        <v>2.5398E-3</v>
      </c>
      <c r="G34" s="104">
        <f>IF(A34&gt;=Parameters!$B$28,1,MIN(C34*(1-Parameters!$B$52),1))</f>
        <v>2.9231500000000002E-3</v>
      </c>
    </row>
    <row r="35" spans="1:7">
      <c r="A35" s="103">
        <v>53</v>
      </c>
      <c r="B35" s="104">
        <v>3.3080000000000002E-3</v>
      </c>
      <c r="C35" s="104">
        <v>3.679E-3</v>
      </c>
      <c r="D35" s="109">
        <f>MIN(B35*(1+Parameters!$B$51),1)</f>
        <v>3.9696000000000002E-3</v>
      </c>
      <c r="E35" s="106">
        <f>MIN(C35*(1+Parameters!$B$51),1)</f>
        <v>4.4148E-3</v>
      </c>
      <c r="F35" s="104">
        <f>IF(A35&gt;=Parameters!$B$28,1,MIN(B35*(1-Parameters!$B$52),1))</f>
        <v>2.8118000000000001E-3</v>
      </c>
      <c r="G35" s="104">
        <f>IF(A35&gt;=Parameters!$B$28,1,MIN(C35*(1-Parameters!$B$52),1))</f>
        <v>3.12715E-3</v>
      </c>
    </row>
    <row r="36" spans="1:7">
      <c r="A36" s="103">
        <v>54</v>
      </c>
      <c r="B36" s="104">
        <v>3.6679999999999998E-3</v>
      </c>
      <c r="C36" s="104">
        <v>3.9290000000000002E-3</v>
      </c>
      <c r="D36" s="109">
        <f>MIN(B36*(1+Parameters!$B$51),1)</f>
        <v>4.4015999999999994E-3</v>
      </c>
      <c r="E36" s="106">
        <f>MIN(C36*(1+Parameters!$B$51),1)</f>
        <v>4.7147999999999999E-3</v>
      </c>
      <c r="F36" s="104">
        <f>IF(A36&gt;=Parameters!$B$28,1,MIN(B36*(1-Parameters!$B$52),1))</f>
        <v>3.1177999999999996E-3</v>
      </c>
      <c r="G36" s="104">
        <f>IF(A36&gt;=Parameters!$B$28,1,MIN(C36*(1-Parameters!$B$52),1))</f>
        <v>3.33965E-3</v>
      </c>
    </row>
    <row r="37" spans="1:7">
      <c r="A37" s="103">
        <v>55</v>
      </c>
      <c r="B37" s="104">
        <v>4.0720000000000001E-3</v>
      </c>
      <c r="C37" s="104">
        <v>4.1879999999999999E-3</v>
      </c>
      <c r="D37" s="109">
        <f>MIN(B37*(1+Parameters!$B$51),1)</f>
        <v>4.8863999999999999E-3</v>
      </c>
      <c r="E37" s="106">
        <f>MIN(C37*(1+Parameters!$B$51),1)</f>
        <v>5.0255999999999999E-3</v>
      </c>
      <c r="F37" s="104">
        <f>IF(A37&gt;=Parameters!$B$28,1,MIN(B37*(1-Parameters!$B$52),1))</f>
        <v>3.4611999999999998E-3</v>
      </c>
      <c r="G37" s="104">
        <f>IF(A37&gt;=Parameters!$B$28,1,MIN(C37*(1-Parameters!$B$52),1))</f>
        <v>3.5597999999999997E-3</v>
      </c>
    </row>
    <row r="38" spans="1:7">
      <c r="A38" s="103">
        <v>56</v>
      </c>
      <c r="B38" s="104">
        <v>4.5230000000000001E-3</v>
      </c>
      <c r="C38" s="104">
        <v>4.4559999999999999E-3</v>
      </c>
      <c r="D38" s="109">
        <f>MIN(B38*(1+Parameters!$B$51),1)</f>
        <v>5.4276000000000003E-3</v>
      </c>
      <c r="E38" s="106">
        <f>MIN(C38*(1+Parameters!$B$51),1)</f>
        <v>5.3471999999999999E-3</v>
      </c>
      <c r="F38" s="104">
        <f>IF(A38&gt;=Parameters!$B$28,1,MIN(B38*(1-Parameters!$B$52),1))</f>
        <v>3.84455E-3</v>
      </c>
      <c r="G38" s="104">
        <f>IF(A38&gt;=Parameters!$B$28,1,MIN(C38*(1-Parameters!$B$52),1))</f>
        <v>3.7875999999999999E-3</v>
      </c>
    </row>
    <row r="39" spans="1:7">
      <c r="A39" s="103">
        <v>57</v>
      </c>
      <c r="B39" s="104">
        <v>5.0229999999999997E-3</v>
      </c>
      <c r="C39" s="104">
        <v>4.731E-3</v>
      </c>
      <c r="D39" s="109">
        <f>MIN(B39*(1+Parameters!$B$51),1)</f>
        <v>6.0275999999999993E-3</v>
      </c>
      <c r="E39" s="106">
        <f>MIN(C39*(1+Parameters!$B$51),1)</f>
        <v>5.6771999999999994E-3</v>
      </c>
      <c r="F39" s="104">
        <f>IF(A39&gt;=Parameters!$B$28,1,MIN(B39*(1-Parameters!$B$52),1))</f>
        <v>4.2695499999999996E-3</v>
      </c>
      <c r="G39" s="104">
        <f>IF(A39&gt;=Parameters!$B$28,1,MIN(C39*(1-Parameters!$B$52),1))</f>
        <v>4.0213499999999999E-3</v>
      </c>
    </row>
    <row r="40" spans="1:7">
      <c r="A40" s="103">
        <v>58</v>
      </c>
      <c r="B40" s="104">
        <v>5.5760000000000002E-3</v>
      </c>
      <c r="C40" s="104">
        <v>5.012E-3</v>
      </c>
      <c r="D40" s="109">
        <f>MIN(B40*(1+Parameters!$B$51),1)</f>
        <v>6.6912000000000004E-3</v>
      </c>
      <c r="E40" s="106">
        <f>MIN(C40*(1+Parameters!$B$51),1)</f>
        <v>6.0143999999999996E-3</v>
      </c>
      <c r="F40" s="104">
        <f>IF(A40&gt;=Parameters!$B$28,1,MIN(B40*(1-Parameters!$B$52),1))</f>
        <v>4.7396000000000001E-3</v>
      </c>
      <c r="G40" s="104">
        <f>IF(A40&gt;=Parameters!$B$28,1,MIN(C40*(1-Parameters!$B$52),1))</f>
        <v>4.2601999999999996E-3</v>
      </c>
    </row>
    <row r="41" spans="1:7">
      <c r="A41" s="103">
        <v>59</v>
      </c>
      <c r="B41" s="104">
        <v>6.1830000000000001E-3</v>
      </c>
      <c r="C41" s="104">
        <v>5.2950000000000002E-3</v>
      </c>
      <c r="D41" s="109">
        <f>MIN(B41*(1+Parameters!$B$51),1)</f>
        <v>7.4196000000000002E-3</v>
      </c>
      <c r="E41" s="106">
        <f>MIN(C41*(1+Parameters!$B$51),1)</f>
        <v>6.3540000000000003E-3</v>
      </c>
      <c r="F41" s="104">
        <f>IF(A41&gt;=Parameters!$B$28,1,MIN(B41*(1-Parameters!$B$52),1))</f>
        <v>5.2555500000000003E-3</v>
      </c>
      <c r="G41" s="104">
        <f>IF(A41&gt;=Parameters!$B$28,1,MIN(C41*(1-Parameters!$B$52),1))</f>
        <v>4.5007500000000004E-3</v>
      </c>
    </row>
    <row r="42" spans="1:7">
      <c r="A42" s="103">
        <v>60</v>
      </c>
      <c r="B42" s="104">
        <v>6.8450000000000004E-3</v>
      </c>
      <c r="C42" s="104">
        <v>5.5799999999999999E-3</v>
      </c>
      <c r="D42" s="109">
        <f>MIN(B42*(1+Parameters!$B$51),1)</f>
        <v>8.2140000000000008E-3</v>
      </c>
      <c r="E42" s="106">
        <f>MIN(C42*(1+Parameters!$B$51),1)</f>
        <v>6.6959999999999997E-3</v>
      </c>
      <c r="F42" s="104">
        <f>IF(A42&gt;=Parameters!$B$28,1,MIN(B42*(1-Parameters!$B$52),1))</f>
        <v>5.8182500000000005E-3</v>
      </c>
      <c r="G42" s="104">
        <f>IF(A42&gt;=Parameters!$B$28,1,MIN(C42*(1-Parameters!$B$52),1))</f>
        <v>4.7429999999999998E-3</v>
      </c>
    </row>
    <row r="43" spans="1:7">
      <c r="A43" s="103">
        <v>61</v>
      </c>
      <c r="B43" s="104">
        <v>7.5620000000000001E-3</v>
      </c>
      <c r="C43" s="104">
        <v>5.8630000000000002E-3</v>
      </c>
      <c r="D43" s="109">
        <f>MIN(B43*(1+Parameters!$B$51),1)</f>
        <v>9.0743999999999998E-3</v>
      </c>
      <c r="E43" s="106">
        <f>MIN(C43*(1+Parameters!$B$51),1)</f>
        <v>7.0355999999999995E-3</v>
      </c>
      <c r="F43" s="104">
        <f>IF(A43&gt;=Parameters!$B$28,1,MIN(B43*(1-Parameters!$B$52),1))</f>
        <v>6.4276999999999997E-3</v>
      </c>
      <c r="G43" s="104">
        <f>IF(A43&gt;=Parameters!$B$28,1,MIN(C43*(1-Parameters!$B$52),1))</f>
        <v>4.9835499999999998E-3</v>
      </c>
    </row>
    <row r="44" spans="1:7">
      <c r="A44" s="103">
        <v>62</v>
      </c>
      <c r="B44" s="104">
        <v>8.3309999999999999E-3</v>
      </c>
      <c r="C44" s="104">
        <v>6.1419999999999999E-3</v>
      </c>
      <c r="D44" s="109">
        <f>MIN(B44*(1+Parameters!$B$51),1)</f>
        <v>9.9971999999999995E-3</v>
      </c>
      <c r="E44" s="106">
        <f>MIN(C44*(1+Parameters!$B$51),1)</f>
        <v>7.3703999999999992E-3</v>
      </c>
      <c r="F44" s="104">
        <f>IF(A44&gt;=Parameters!$B$28,1,MIN(B44*(1-Parameters!$B$52),1))</f>
        <v>7.0813499999999993E-3</v>
      </c>
      <c r="G44" s="104">
        <f>IF(A44&gt;=Parameters!$B$28,1,MIN(C44*(1-Parameters!$B$52),1))</f>
        <v>5.2207E-3</v>
      </c>
    </row>
    <row r="45" spans="1:7">
      <c r="A45" s="103">
        <v>63</v>
      </c>
      <c r="B45" s="104">
        <v>9.1500000000000001E-3</v>
      </c>
      <c r="C45" s="104">
        <v>6.4130000000000003E-3</v>
      </c>
      <c r="D45" s="109">
        <f>MIN(B45*(1+Parameters!$B$51),1)</f>
        <v>1.098E-2</v>
      </c>
      <c r="E45" s="106">
        <f>MIN(C45*(1+Parameters!$B$51),1)</f>
        <v>7.6956000000000004E-3</v>
      </c>
      <c r="F45" s="104">
        <f>IF(A45&gt;=Parameters!$B$28,1,MIN(B45*(1-Parameters!$B$52),1))</f>
        <v>7.7774999999999997E-3</v>
      </c>
      <c r="G45" s="104">
        <f>IF(A45&gt;=Parameters!$B$28,1,MIN(C45*(1-Parameters!$B$52),1))</f>
        <v>5.4510499999999998E-3</v>
      </c>
    </row>
    <row r="46" spans="1:7">
      <c r="A46" s="103">
        <v>64</v>
      </c>
      <c r="B46" s="104">
        <v>1.0012E-2</v>
      </c>
      <c r="C46" s="104">
        <v>6.672E-3</v>
      </c>
      <c r="D46" s="109">
        <f>MIN(B46*(1+Parameters!$B$51),1)</f>
        <v>1.20144E-2</v>
      </c>
      <c r="E46" s="106">
        <f>MIN(C46*(1+Parameters!$B$51),1)</f>
        <v>8.0064000000000003E-3</v>
      </c>
      <c r="F46" s="104">
        <f>IF(A46&gt;=Parameters!$B$28,1,MIN(B46*(1-Parameters!$B$52),1))</f>
        <v>8.510199999999999E-3</v>
      </c>
      <c r="G46" s="104">
        <f>IF(A46&gt;=Parameters!$B$28,1,MIN(C46*(1-Parameters!$B$52),1))</f>
        <v>5.6711999999999995E-3</v>
      </c>
    </row>
    <row r="47" spans="1:7">
      <c r="A47" s="103">
        <v>65</v>
      </c>
      <c r="B47" s="104">
        <v>1.091E-2</v>
      </c>
      <c r="C47" s="104">
        <v>6.9189999999999998E-3</v>
      </c>
      <c r="D47" s="109">
        <f>MIN(B47*(1+Parameters!$B$51),1)</f>
        <v>1.3091999999999999E-2</v>
      </c>
      <c r="E47" s="106">
        <f>MIN(C47*(1+Parameters!$B$51),1)</f>
        <v>8.3027999999999991E-3</v>
      </c>
      <c r="F47" s="104">
        <f>IF(A47&gt;=Parameters!$B$28,1,MIN(B47*(1-Parameters!$B$52),1))</f>
        <v>9.2734999999999988E-3</v>
      </c>
      <c r="G47" s="104">
        <f>IF(A47&gt;=Parameters!$B$28,1,MIN(C47*(1-Parameters!$B$52),1))</f>
        <v>5.8811499999999999E-3</v>
      </c>
    </row>
    <row r="48" spans="1:7">
      <c r="A48" s="103">
        <v>66</v>
      </c>
      <c r="B48" s="104">
        <v>1.1831E-2</v>
      </c>
      <c r="C48" s="104">
        <v>7.554E-3</v>
      </c>
      <c r="D48" s="109">
        <f>MIN(B48*(1+Parameters!$B$51),1)</f>
        <v>1.4197199999999998E-2</v>
      </c>
      <c r="E48" s="106">
        <f>MIN(C48*(1+Parameters!$B$51),1)</f>
        <v>9.0647999999999996E-3</v>
      </c>
      <c r="F48" s="104">
        <f>IF(A48&gt;=Parameters!$B$28,1,MIN(B48*(1-Parameters!$B$52),1))</f>
        <v>1.0056349999999999E-2</v>
      </c>
      <c r="G48" s="104">
        <f>IF(A48&gt;=Parameters!$B$28,1,MIN(C48*(1-Parameters!$B$52),1))</f>
        <v>6.4209000000000002E-3</v>
      </c>
    </row>
    <row r="49" spans="1:7">
      <c r="A49" s="103">
        <v>67</v>
      </c>
      <c r="B49" s="104">
        <v>1.2763E-2</v>
      </c>
      <c r="C49" s="104">
        <v>8.2579999999999997E-3</v>
      </c>
      <c r="D49" s="109">
        <f>MIN(B49*(1+Parameters!$B$51),1)</f>
        <v>1.5315599999999999E-2</v>
      </c>
      <c r="E49" s="106">
        <f>MIN(C49*(1+Parameters!$B$51),1)</f>
        <v>9.9095999999999993E-3</v>
      </c>
      <c r="F49" s="104">
        <f>IF(A49&gt;=Parameters!$B$28,1,MIN(B49*(1-Parameters!$B$52),1))</f>
        <v>1.084855E-2</v>
      </c>
      <c r="G49" s="104">
        <f>IF(A49&gt;=Parameters!$B$28,1,MIN(C49*(1-Parameters!$B$52),1))</f>
        <v>7.0192999999999992E-3</v>
      </c>
    </row>
    <row r="50" spans="1:7">
      <c r="A50" s="103">
        <v>68</v>
      </c>
      <c r="B50" s="104">
        <v>1.3689E-2</v>
      </c>
      <c r="C50" s="104">
        <v>9.0299999999999998E-3</v>
      </c>
      <c r="D50" s="109">
        <f>MIN(B50*(1+Parameters!$B$51),1)</f>
        <v>1.6426799999999998E-2</v>
      </c>
      <c r="E50" s="106">
        <f>MIN(C50*(1+Parameters!$B$51),1)</f>
        <v>1.0836E-2</v>
      </c>
      <c r="F50" s="104">
        <f>IF(A50&gt;=Parameters!$B$28,1,MIN(B50*(1-Parameters!$B$52),1))</f>
        <v>1.1635649999999999E-2</v>
      </c>
      <c r="G50" s="104">
        <f>IF(A50&gt;=Parameters!$B$28,1,MIN(C50*(1-Parameters!$B$52),1))</f>
        <v>7.6755E-3</v>
      </c>
    </row>
    <row r="51" spans="1:7">
      <c r="A51" s="103">
        <v>69</v>
      </c>
      <c r="B51" s="104">
        <v>1.4590000000000001E-2</v>
      </c>
      <c r="C51" s="104">
        <v>9.8720000000000006E-3</v>
      </c>
      <c r="D51" s="109">
        <f>MIN(B51*(1+Parameters!$B$51),1)</f>
        <v>1.7507999999999999E-2</v>
      </c>
      <c r="E51" s="106">
        <f>MIN(C51*(1+Parameters!$B$51),1)</f>
        <v>1.18464E-2</v>
      </c>
      <c r="F51" s="104">
        <f>IF(A51&gt;=Parameters!$B$28,1,MIN(B51*(1-Parameters!$B$52),1))</f>
        <v>1.2401499999999999E-2</v>
      </c>
      <c r="G51" s="104">
        <f>IF(A51&gt;=Parameters!$B$28,1,MIN(C51*(1-Parameters!$B$52),1))</f>
        <v>8.3911999999999997E-3</v>
      </c>
    </row>
    <row r="52" spans="1:7">
      <c r="A52" s="103">
        <v>70</v>
      </c>
      <c r="B52" s="104">
        <v>1.5447000000000001E-2</v>
      </c>
      <c r="C52" s="104">
        <v>1.0784E-2</v>
      </c>
      <c r="D52" s="109">
        <f>MIN(B52*(1+Parameters!$B$51),1)</f>
        <v>1.8536400000000001E-2</v>
      </c>
      <c r="E52" s="106">
        <f>MIN(C52*(1+Parameters!$B$51),1)</f>
        <v>1.2940800000000001E-2</v>
      </c>
      <c r="F52" s="104">
        <f>IF(A52&gt;=Parameters!$B$28,1,MIN(B52*(1-Parameters!$B$52),1))</f>
        <v>1.312995E-2</v>
      </c>
      <c r="G52" s="104">
        <f>IF(A52&gt;=Parameters!$B$28,1,MIN(C52*(1-Parameters!$B$52),1))</f>
        <v>9.1663999999999999E-3</v>
      </c>
    </row>
    <row r="53" spans="1:7">
      <c r="A53" s="103">
        <v>71</v>
      </c>
      <c r="B53" s="104">
        <v>1.7176E-2</v>
      </c>
      <c r="C53" s="104">
        <v>1.1771E-2</v>
      </c>
      <c r="D53" s="109">
        <f>MIN(B53*(1+Parameters!$B$51),1)</f>
        <v>2.06112E-2</v>
      </c>
      <c r="E53" s="106">
        <f>MIN(C53*(1+Parameters!$B$51),1)</f>
        <v>1.4125199999999999E-2</v>
      </c>
      <c r="F53" s="104">
        <f>IF(A53&gt;=Parameters!$B$28,1,MIN(B53*(1-Parameters!$B$52),1))</f>
        <v>1.4599599999999999E-2</v>
      </c>
      <c r="G53" s="104">
        <f>IF(A53&gt;=Parameters!$B$28,1,MIN(C53*(1-Parameters!$B$52),1))</f>
        <v>1.000535E-2</v>
      </c>
    </row>
    <row r="54" spans="1:7">
      <c r="A54" s="103">
        <v>72</v>
      </c>
      <c r="B54" s="104">
        <v>1.9084E-2</v>
      </c>
      <c r="C54" s="104">
        <v>1.2848E-2</v>
      </c>
      <c r="D54" s="109">
        <f>MIN(B54*(1+Parameters!$B$51),1)</f>
        <v>2.2900799999999999E-2</v>
      </c>
      <c r="E54" s="106">
        <f>MIN(C54*(1+Parameters!$B$51),1)</f>
        <v>1.54176E-2</v>
      </c>
      <c r="F54" s="104">
        <f>IF(A54&gt;=Parameters!$B$28,1,MIN(B54*(1-Parameters!$B$52),1))</f>
        <v>1.62214E-2</v>
      </c>
      <c r="G54" s="104">
        <f>IF(A54&gt;=Parameters!$B$28,1,MIN(C54*(1-Parameters!$B$52),1))</f>
        <v>1.09208E-2</v>
      </c>
    </row>
    <row r="55" spans="1:7">
      <c r="A55" s="103">
        <v>73</v>
      </c>
      <c r="B55" s="104">
        <v>2.1198000000000002E-2</v>
      </c>
      <c r="C55" s="104">
        <v>1.4038999999999999E-2</v>
      </c>
      <c r="D55" s="109">
        <f>MIN(B55*(1+Parameters!$B$51),1)</f>
        <v>2.5437600000000001E-2</v>
      </c>
      <c r="E55" s="106">
        <f>MIN(C55*(1+Parameters!$B$51),1)</f>
        <v>1.6846799999999999E-2</v>
      </c>
      <c r="F55" s="104">
        <f>IF(A55&gt;=Parameters!$B$28,1,MIN(B55*(1-Parameters!$B$52),1))</f>
        <v>1.8018300000000001E-2</v>
      </c>
      <c r="G55" s="104">
        <f>IF(A55&gt;=Parameters!$B$28,1,MIN(C55*(1-Parameters!$B$52),1))</f>
        <v>1.193315E-2</v>
      </c>
    </row>
    <row r="56" spans="1:7">
      <c r="A56" s="103">
        <v>74</v>
      </c>
      <c r="B56" s="104">
        <v>2.3550999999999999E-2</v>
      </c>
      <c r="C56" s="104">
        <v>1.5370999999999999E-2</v>
      </c>
      <c r="D56" s="109">
        <f>MIN(B56*(1+Parameters!$B$51),1)</f>
        <v>2.8261199999999997E-2</v>
      </c>
      <c r="E56" s="106">
        <f>MIN(C56*(1+Parameters!$B$51),1)</f>
        <v>1.8445199999999998E-2</v>
      </c>
      <c r="F56" s="104">
        <f>IF(A56&gt;=Parameters!$B$28,1,MIN(B56*(1-Parameters!$B$52),1))</f>
        <v>2.0018349999999997E-2</v>
      </c>
      <c r="G56" s="104">
        <f>IF(A56&gt;=Parameters!$B$28,1,MIN(C56*(1-Parameters!$B$52),1))</f>
        <v>1.306535E-2</v>
      </c>
    </row>
    <row r="57" spans="1:7">
      <c r="A57" s="103">
        <v>75</v>
      </c>
      <c r="B57" s="104">
        <v>2.6183000000000001E-2</v>
      </c>
      <c r="C57" s="104">
        <v>1.6875000000000001E-2</v>
      </c>
      <c r="D57" s="109">
        <f>MIN(B57*(1+Parameters!$B$51),1)</f>
        <v>3.1419599999999999E-2</v>
      </c>
      <c r="E57" s="106">
        <f>MIN(C57*(1+Parameters!$B$51),1)</f>
        <v>2.0250000000000001E-2</v>
      </c>
      <c r="F57" s="104">
        <f>IF(A57&gt;=Parameters!$B$28,1,MIN(B57*(1-Parameters!$B$52),1))</f>
        <v>2.2255549999999999E-2</v>
      </c>
      <c r="G57" s="104">
        <f>IF(A57&gt;=Parameters!$B$28,1,MIN(C57*(1-Parameters!$B$52),1))</f>
        <v>1.4343750000000001E-2</v>
      </c>
    </row>
    <row r="58" spans="1:7">
      <c r="A58" s="103">
        <v>76</v>
      </c>
      <c r="B58" s="104">
        <v>2.9139999999999999E-2</v>
      </c>
      <c r="C58" s="104">
        <v>1.8585000000000001E-2</v>
      </c>
      <c r="D58" s="109">
        <f>MIN(B58*(1+Parameters!$B$51),1)</f>
        <v>3.4967999999999999E-2</v>
      </c>
      <c r="E58" s="106">
        <f>MIN(C58*(1+Parameters!$B$51),1)</f>
        <v>2.2301999999999999E-2</v>
      </c>
      <c r="F58" s="104">
        <f>IF(A58&gt;=Parameters!$B$28,1,MIN(B58*(1-Parameters!$B$52),1))</f>
        <v>2.4768999999999999E-2</v>
      </c>
      <c r="G58" s="104">
        <f>IF(A58&gt;=Parameters!$B$28,1,MIN(C58*(1-Parameters!$B$52),1))</f>
        <v>1.5797249999999999E-2</v>
      </c>
    </row>
    <row r="59" spans="1:7">
      <c r="A59" s="103">
        <v>77</v>
      </c>
      <c r="B59" s="104">
        <v>3.2481000000000003E-2</v>
      </c>
      <c r="C59" s="104">
        <v>2.0539999999999999E-2</v>
      </c>
      <c r="D59" s="109">
        <f>MIN(B59*(1+Parameters!$B$51),1)</f>
        <v>3.8977200000000004E-2</v>
      </c>
      <c r="E59" s="106">
        <f>MIN(C59*(1+Parameters!$B$51),1)</f>
        <v>2.4648E-2</v>
      </c>
      <c r="F59" s="104">
        <f>IF(A59&gt;=Parameters!$B$28,1,MIN(B59*(1-Parameters!$B$52),1))</f>
        <v>2.7608850000000001E-2</v>
      </c>
      <c r="G59" s="104">
        <f>IF(A59&gt;=Parameters!$B$28,1,MIN(C59*(1-Parameters!$B$52),1))</f>
        <v>1.7458999999999999E-2</v>
      </c>
    </row>
    <row r="60" spans="1:7">
      <c r="A60" s="103">
        <v>78</v>
      </c>
      <c r="B60" s="104">
        <v>3.6274000000000001E-2</v>
      </c>
      <c r="C60" s="104">
        <v>2.2780999999999999E-2</v>
      </c>
      <c r="D60" s="109">
        <f>MIN(B60*(1+Parameters!$B$51),1)</f>
        <v>4.3528799999999999E-2</v>
      </c>
      <c r="E60" s="106">
        <f>MIN(C60*(1+Parameters!$B$51),1)</f>
        <v>2.7337199999999999E-2</v>
      </c>
      <c r="F60" s="104">
        <f>IF(A60&gt;=Parameters!$B$28,1,MIN(B60*(1-Parameters!$B$52),1))</f>
        <v>3.08329E-2</v>
      </c>
      <c r="G60" s="104">
        <f>IF(A60&gt;=Parameters!$B$28,1,MIN(C60*(1-Parameters!$B$52),1))</f>
        <v>1.9363849999999998E-2</v>
      </c>
    </row>
    <row r="61" spans="1:7">
      <c r="A61" s="103">
        <v>79</v>
      </c>
      <c r="B61" s="104">
        <v>4.0598000000000002E-2</v>
      </c>
      <c r="C61" s="104">
        <v>2.5354000000000002E-2</v>
      </c>
      <c r="D61" s="109">
        <f>MIN(B61*(1+Parameters!$B$51),1)</f>
        <v>4.87176E-2</v>
      </c>
      <c r="E61" s="106">
        <f>MIN(C61*(1+Parameters!$B$51),1)</f>
        <v>3.0424800000000002E-2</v>
      </c>
      <c r="F61" s="104">
        <f>IF(A61&gt;=Parameters!$B$28,1,MIN(B61*(1-Parameters!$B$52),1))</f>
        <v>3.4508299999999999E-2</v>
      </c>
      <c r="G61" s="104">
        <f>IF(A61&gt;=Parameters!$B$28,1,MIN(C61*(1-Parameters!$B$52),1))</f>
        <v>2.1550900000000001E-2</v>
      </c>
    </row>
    <row r="62" spans="1:7">
      <c r="A62" s="103">
        <v>80</v>
      </c>
      <c r="B62" s="104">
        <v>4.5538000000000002E-2</v>
      </c>
      <c r="C62" s="104">
        <v>2.8302999999999998E-2</v>
      </c>
      <c r="D62" s="109">
        <f>MIN(B62*(1+Parameters!$B$51),1)</f>
        <v>5.4645600000000003E-2</v>
      </c>
      <c r="E62" s="106">
        <f>MIN(C62*(1+Parameters!$B$51),1)</f>
        <v>3.3963599999999997E-2</v>
      </c>
      <c r="F62" s="104">
        <f>IF(A62&gt;=Parameters!$B$28,1,MIN(B62*(1-Parameters!$B$52),1))</f>
        <v>3.87073E-2</v>
      </c>
      <c r="G62" s="104">
        <f>IF(A62&gt;=Parameters!$B$28,1,MIN(C62*(1-Parameters!$B$52),1))</f>
        <v>2.4057549999999997E-2</v>
      </c>
    </row>
    <row r="63" spans="1:7">
      <c r="A63" s="103">
        <v>81</v>
      </c>
      <c r="B63" s="104">
        <v>5.1187999999999997E-2</v>
      </c>
      <c r="C63" s="104">
        <v>3.1671999999999999E-2</v>
      </c>
      <c r="D63" s="109">
        <f>MIN(B63*(1+Parameters!$B$51),1)</f>
        <v>6.1425599999999997E-2</v>
      </c>
      <c r="E63" s="106">
        <f>MIN(C63*(1+Parameters!$B$51),1)</f>
        <v>3.8006399999999996E-2</v>
      </c>
      <c r="F63" s="104">
        <f>IF(A63&gt;=Parameters!$B$28,1,MIN(B63*(1-Parameters!$B$52),1))</f>
        <v>4.3509799999999994E-2</v>
      </c>
      <c r="G63" s="104">
        <f>IF(A63&gt;=Parameters!$B$28,1,MIN(C63*(1-Parameters!$B$52),1))</f>
        <v>2.6921199999999999E-2</v>
      </c>
    </row>
    <row r="64" spans="1:7">
      <c r="A64" s="103">
        <v>82</v>
      </c>
      <c r="B64" s="104">
        <v>5.7654999999999998E-2</v>
      </c>
      <c r="C64" s="104">
        <v>3.5501999999999999E-2</v>
      </c>
      <c r="D64" s="109">
        <f>MIN(B64*(1+Parameters!$B$51),1)</f>
        <v>6.9185999999999998E-2</v>
      </c>
      <c r="E64" s="106">
        <f>MIN(C64*(1+Parameters!$B$51),1)</f>
        <v>4.2602399999999999E-2</v>
      </c>
      <c r="F64" s="104">
        <f>IF(A64&gt;=Parameters!$B$28,1,MIN(B64*(1-Parameters!$B$52),1))</f>
        <v>4.9006749999999995E-2</v>
      </c>
      <c r="G64" s="104">
        <f>IF(A64&gt;=Parameters!$B$28,1,MIN(C64*(1-Parameters!$B$52),1))</f>
        <v>3.0176699999999997E-2</v>
      </c>
    </row>
    <row r="65" spans="1:7">
      <c r="A65" s="103">
        <v>83</v>
      </c>
      <c r="B65" s="104">
        <v>6.5054000000000001E-2</v>
      </c>
      <c r="C65" s="104">
        <v>3.9843999999999997E-2</v>
      </c>
      <c r="D65" s="109">
        <f>MIN(B65*(1+Parameters!$B$51),1)</f>
        <v>7.8064800000000004E-2</v>
      </c>
      <c r="E65" s="106">
        <f>MIN(C65*(1+Parameters!$B$51),1)</f>
        <v>4.7812799999999996E-2</v>
      </c>
      <c r="F65" s="104">
        <f>IF(A65&gt;=Parameters!$B$28,1,MIN(B65*(1-Parameters!$B$52),1))</f>
        <v>5.5295900000000002E-2</v>
      </c>
      <c r="G65" s="104">
        <f>IF(A65&gt;=Parameters!$B$28,1,MIN(C65*(1-Parameters!$B$52),1))</f>
        <v>3.3867399999999999E-2</v>
      </c>
    </row>
    <row r="66" spans="1:7">
      <c r="A66" s="103">
        <v>84</v>
      </c>
      <c r="B66" s="104">
        <v>7.3513999999999996E-2</v>
      </c>
      <c r="C66" s="104">
        <v>4.4757999999999999E-2</v>
      </c>
      <c r="D66" s="109">
        <f>MIN(B66*(1+Parameters!$B$51),1)</f>
        <v>8.8216799999999998E-2</v>
      </c>
      <c r="E66" s="106">
        <f>MIN(C66*(1+Parameters!$B$51),1)</f>
        <v>5.3709599999999996E-2</v>
      </c>
      <c r="F66" s="104">
        <f>IF(A66&gt;=Parameters!$B$28,1,MIN(B66*(1-Parameters!$B$52),1))</f>
        <v>6.2486899999999998E-2</v>
      </c>
      <c r="G66" s="104">
        <f>IF(A66&gt;=Parameters!$B$28,1,MIN(C66*(1-Parameters!$B$52),1))</f>
        <v>3.8044299999999996E-2</v>
      </c>
    </row>
    <row r="67" spans="1:7">
      <c r="A67" s="103">
        <v>85</v>
      </c>
      <c r="B67" s="104">
        <v>8.3172999999999997E-2</v>
      </c>
      <c r="C67" s="104">
        <v>5.0319999999999997E-2</v>
      </c>
      <c r="D67" s="109">
        <f>MIN(B67*(1+Parameters!$B$51),1)</f>
        <v>9.9807599999999996E-2</v>
      </c>
      <c r="E67" s="106">
        <f>MIN(C67*(1+Parameters!$B$51),1)</f>
        <v>6.0383999999999993E-2</v>
      </c>
      <c r="F67" s="104">
        <f>IF(A67&gt;=Parameters!$B$28,1,MIN(B67*(1-Parameters!$B$52),1))</f>
        <v>7.0697049999999997E-2</v>
      </c>
      <c r="G67" s="104">
        <f>IF(A67&gt;=Parameters!$B$28,1,MIN(C67*(1-Parameters!$B$52),1))</f>
        <v>4.2771999999999998E-2</v>
      </c>
    </row>
    <row r="68" spans="1:7">
      <c r="A68" s="103">
        <v>86</v>
      </c>
      <c r="B68" s="104">
        <v>9.4197000000000003E-2</v>
      </c>
      <c r="C68" s="104">
        <v>5.6627999999999998E-2</v>
      </c>
      <c r="D68" s="109">
        <f>MIN(B68*(1+Parameters!$B$51),1)</f>
        <v>0.1130364</v>
      </c>
      <c r="E68" s="106">
        <f>MIN(C68*(1+Parameters!$B$51),1)</f>
        <v>6.7953599999999989E-2</v>
      </c>
      <c r="F68" s="104">
        <f>IF(A68&gt;=Parameters!$B$28,1,MIN(B68*(1-Parameters!$B$52),1))</f>
        <v>8.0067449999999998E-2</v>
      </c>
      <c r="G68" s="104">
        <f>IF(A68&gt;=Parameters!$B$28,1,MIN(C68*(1-Parameters!$B$52),1))</f>
        <v>4.8133799999999997E-2</v>
      </c>
    </row>
    <row r="69" spans="1:7">
      <c r="A69" s="103">
        <v>87</v>
      </c>
      <c r="B69" s="104">
        <v>0.106852</v>
      </c>
      <c r="C69" s="104">
        <v>6.3812999999999995E-2</v>
      </c>
      <c r="D69" s="109">
        <f>MIN(B69*(1+Parameters!$B$51),1)</f>
        <v>0.12822239999999999</v>
      </c>
      <c r="E69" s="106">
        <f>MIN(C69*(1+Parameters!$B$51),1)</f>
        <v>7.6575599999999994E-2</v>
      </c>
      <c r="F69" s="104">
        <f>IF(A69&gt;=Parameters!$B$28,1,MIN(B69*(1-Parameters!$B$52),1))</f>
        <v>9.0824199999999994E-2</v>
      </c>
      <c r="G69" s="104">
        <f>IF(A69&gt;=Parameters!$B$28,1,MIN(C69*(1-Parameters!$B$52),1))</f>
        <v>5.4241049999999992E-2</v>
      </c>
    </row>
    <row r="70" spans="1:7">
      <c r="A70" s="103">
        <v>88</v>
      </c>
      <c r="B70" s="104">
        <v>0.12148</v>
      </c>
      <c r="C70" s="104">
        <v>7.2020000000000001E-2</v>
      </c>
      <c r="D70" s="109">
        <f>MIN(B70*(1+Parameters!$B$51),1)</f>
        <v>0.14577599999999999</v>
      </c>
      <c r="E70" s="106">
        <f>MIN(C70*(1+Parameters!$B$51),1)</f>
        <v>8.6424000000000001E-2</v>
      </c>
      <c r="F70" s="104">
        <f>IF(A70&gt;=Parameters!$B$28,1,MIN(B70*(1-Parameters!$B$52),1))</f>
        <v>0.103258</v>
      </c>
      <c r="G70" s="104">
        <f>IF(A70&gt;=Parameters!$B$28,1,MIN(C70*(1-Parameters!$B$52),1))</f>
        <v>6.1217000000000001E-2</v>
      </c>
    </row>
    <row r="71" spans="1:7">
      <c r="A71" s="103">
        <v>89</v>
      </c>
      <c r="B71" s="104">
        <v>0.13850499999999999</v>
      </c>
      <c r="C71" s="104">
        <v>8.1393999999999994E-2</v>
      </c>
      <c r="D71" s="109">
        <f>MIN(B71*(1+Parameters!$B$51),1)</f>
        <v>0.16620599999999999</v>
      </c>
      <c r="E71" s="106">
        <f>MIN(C71*(1+Parameters!$B$51),1)</f>
        <v>9.767279999999999E-2</v>
      </c>
      <c r="F71" s="104">
        <f>IF(A71&gt;=Parameters!$B$28,1,MIN(B71*(1-Parameters!$B$52),1))</f>
        <v>0.11772924999999999</v>
      </c>
      <c r="G71" s="104">
        <f>IF(A71&gt;=Parameters!$B$28,1,MIN(C71*(1-Parameters!$B$52),1))</f>
        <v>6.9184899999999994E-2</v>
      </c>
    </row>
    <row r="72" spans="1:7">
      <c r="A72" s="103">
        <v>90</v>
      </c>
      <c r="B72" s="104">
        <v>0.158467</v>
      </c>
      <c r="C72" s="104">
        <v>9.2079999999999995E-2</v>
      </c>
      <c r="D72" s="109">
        <f>MIN(B72*(1+Parameters!$B$51),1)</f>
        <v>0.19016039999999998</v>
      </c>
      <c r="E72" s="106">
        <f>MIN(C72*(1+Parameters!$B$51),1)</f>
        <v>0.110496</v>
      </c>
      <c r="F72" s="104">
        <f>IF(A72&gt;=Parameters!$B$28,1,MIN(B72*(1-Parameters!$B$52),1))</f>
        <v>0.13469694999999998</v>
      </c>
      <c r="G72" s="104">
        <f>IF(A72&gt;=Parameters!$B$28,1,MIN(C72*(1-Parameters!$B$52),1))</f>
        <v>7.826799999999999E-2</v>
      </c>
    </row>
    <row r="73" spans="1:7">
      <c r="A73" s="103">
        <v>91</v>
      </c>
      <c r="B73" s="104">
        <v>0.18027599999999999</v>
      </c>
      <c r="C73" s="104">
        <v>0.104033</v>
      </c>
      <c r="D73" s="109">
        <f>MIN(B73*(1+Parameters!$B$51),1)</f>
        <v>0.21633119999999997</v>
      </c>
      <c r="E73" s="106">
        <f>MIN(C73*(1+Parameters!$B$51),1)</f>
        <v>0.1248396</v>
      </c>
      <c r="F73" s="104">
        <f>IF(A73&gt;=Parameters!$B$28,1,MIN(B73*(1-Parameters!$B$52),1))</f>
        <v>0.1532346</v>
      </c>
      <c r="G73" s="104">
        <f>IF(A73&gt;=Parameters!$B$28,1,MIN(C73*(1-Parameters!$B$52),1))</f>
        <v>8.8428049999999994E-2</v>
      </c>
    </row>
    <row r="74" spans="1:7">
      <c r="A74" s="103">
        <v>92</v>
      </c>
      <c r="B74" s="104">
        <v>0.20394000000000001</v>
      </c>
      <c r="C74" s="104">
        <v>0.11737400000000001</v>
      </c>
      <c r="D74" s="109">
        <f>MIN(B74*(1+Parameters!$B$51),1)</f>
        <v>0.244728</v>
      </c>
      <c r="E74" s="106">
        <f>MIN(C74*(1+Parameters!$B$51),1)</f>
        <v>0.1408488</v>
      </c>
      <c r="F74" s="104">
        <f>IF(A74&gt;=Parameters!$B$28,1,MIN(B74*(1-Parameters!$B$52),1))</f>
        <v>0.173349</v>
      </c>
      <c r="G74" s="104">
        <f>IF(A74&gt;=Parameters!$B$28,1,MIN(C74*(1-Parameters!$B$52),1))</f>
        <v>9.9767900000000007E-2</v>
      </c>
    </row>
    <row r="75" spans="1:7">
      <c r="A75" s="103">
        <v>93</v>
      </c>
      <c r="B75" s="104">
        <v>0.22944100000000001</v>
      </c>
      <c r="C75" s="104">
        <v>0.13223099999999999</v>
      </c>
      <c r="D75" s="109">
        <f>MIN(B75*(1+Parameters!$B$51),1)</f>
        <v>0.2753292</v>
      </c>
      <c r="E75" s="106">
        <f>MIN(C75*(1+Parameters!$B$51),1)</f>
        <v>0.15867719999999999</v>
      </c>
      <c r="F75" s="104">
        <f>IF(A75&gt;=Parameters!$B$28,1,MIN(B75*(1-Parameters!$B$52),1))</f>
        <v>0.19502485</v>
      </c>
      <c r="G75" s="104">
        <f>IF(A75&gt;=Parameters!$B$28,1,MIN(C75*(1-Parameters!$B$52),1))</f>
        <v>0.11239634999999999</v>
      </c>
    </row>
    <row r="76" spans="1:7">
      <c r="A76" s="103">
        <v>94</v>
      </c>
      <c r="B76" s="104">
        <v>0.25673699999999999</v>
      </c>
      <c r="C76" s="104">
        <v>0.14873700000000001</v>
      </c>
      <c r="D76" s="109">
        <f>MIN(B76*(1+Parameters!$B$51),1)</f>
        <v>0.30808439999999998</v>
      </c>
      <c r="E76" s="106">
        <f>MIN(C76*(1+Parameters!$B$51),1)</f>
        <v>0.17848440000000002</v>
      </c>
      <c r="F76" s="104">
        <f>IF(A76&gt;=Parameters!$B$28,1,MIN(B76*(1-Parameters!$B$52),1))</f>
        <v>0.21822644999999999</v>
      </c>
      <c r="G76" s="104">
        <f>IF(A76&gt;=Parameters!$B$28,1,MIN(C76*(1-Parameters!$B$52),1))</f>
        <v>0.12642645</v>
      </c>
    </row>
    <row r="77" spans="1:7">
      <c r="A77" s="103">
        <v>95</v>
      </c>
      <c r="B77" s="104">
        <v>0.28576200000000002</v>
      </c>
      <c r="C77" s="104">
        <v>0.16702700000000001</v>
      </c>
      <c r="D77" s="109">
        <f>MIN(B77*(1+Parameters!$B$51),1)</f>
        <v>0.34291440000000001</v>
      </c>
      <c r="E77" s="106">
        <f>MIN(C77*(1+Parameters!$B$51),1)</f>
        <v>0.20043240000000001</v>
      </c>
      <c r="F77" s="104">
        <f>IF(A77&gt;=Parameters!$B$28,1,MIN(B77*(1-Parameters!$B$52),1))</f>
        <v>0.24289769999999999</v>
      </c>
      <c r="G77" s="104">
        <f>IF(A77&gt;=Parameters!$B$28,1,MIN(C77*(1-Parameters!$B$52),1))</f>
        <v>0.14197295000000001</v>
      </c>
    </row>
    <row r="78" spans="1:7">
      <c r="A78" s="103">
        <v>96</v>
      </c>
      <c r="B78" s="104">
        <v>0.31642199999999998</v>
      </c>
      <c r="C78" s="104">
        <v>0.18723600000000001</v>
      </c>
      <c r="D78" s="109">
        <f>MIN(B78*(1+Parameters!$B$51),1)</f>
        <v>0.37970639999999994</v>
      </c>
      <c r="E78" s="106">
        <f>MIN(C78*(1+Parameters!$B$51),1)</f>
        <v>0.2246832</v>
      </c>
      <c r="F78" s="104">
        <f>IF(A78&gt;=Parameters!$B$28,1,MIN(B78*(1-Parameters!$B$52),1))</f>
        <v>0.2689587</v>
      </c>
      <c r="G78" s="104">
        <f>IF(A78&gt;=Parameters!$B$28,1,MIN(C78*(1-Parameters!$B$52),1))</f>
        <v>0.1591506</v>
      </c>
    </row>
    <row r="79" spans="1:7">
      <c r="A79" s="103">
        <v>97</v>
      </c>
      <c r="B79" s="104">
        <v>0.34860099999999999</v>
      </c>
      <c r="C79" s="104">
        <v>0.20949899999999999</v>
      </c>
      <c r="D79" s="109">
        <f>MIN(B79*(1+Parameters!$B$51),1)</f>
        <v>0.4183212</v>
      </c>
      <c r="E79" s="106">
        <f>MIN(C79*(1+Parameters!$B$51),1)</f>
        <v>0.25139879999999998</v>
      </c>
      <c r="F79" s="104">
        <f>IF(A79&gt;=Parameters!$B$28,1,MIN(B79*(1-Parameters!$B$52),1))</f>
        <v>0.29631085000000001</v>
      </c>
      <c r="G79" s="104">
        <f>IF(A79&gt;=Parameters!$B$28,1,MIN(C79*(1-Parameters!$B$52),1))</f>
        <v>0.17807414999999999</v>
      </c>
    </row>
    <row r="80" spans="1:7">
      <c r="A80" s="103">
        <v>98</v>
      </c>
      <c r="B80" s="104">
        <v>0.382164</v>
      </c>
      <c r="C80" s="104">
        <v>0.23394400000000001</v>
      </c>
      <c r="D80" s="109">
        <f>MIN(B80*(1+Parameters!$B$51),1)</f>
        <v>0.45859679999999997</v>
      </c>
      <c r="E80" s="106">
        <f>MIN(C80*(1+Parameters!$B$51),1)</f>
        <v>0.2807328</v>
      </c>
      <c r="F80" s="104">
        <f>IF(A80&gt;=Parameters!$B$28,1,MIN(B80*(1-Parameters!$B$52),1))</f>
        <v>0.3248394</v>
      </c>
      <c r="G80" s="104">
        <f>IF(A80&gt;=Parameters!$B$28,1,MIN(C80*(1-Parameters!$B$52),1))</f>
        <v>0.19885240000000001</v>
      </c>
    </row>
    <row r="81" spans="1:7">
      <c r="A81" s="103">
        <v>99</v>
      </c>
      <c r="B81" s="104">
        <v>0.41695399999999999</v>
      </c>
      <c r="C81" s="104">
        <v>0.26069199999999998</v>
      </c>
      <c r="D81" s="109">
        <f>MIN(B81*(1+Parameters!$B$51),1)</f>
        <v>0.50034479999999992</v>
      </c>
      <c r="E81" s="106">
        <f>MIN(C81*(1+Parameters!$B$51),1)</f>
        <v>0.31283039999999995</v>
      </c>
      <c r="F81" s="104">
        <f>IF(A81&gt;=Parameters!$B$28,1,MIN(B81*(1-Parameters!$B$52),1))</f>
        <v>0.35441089999999997</v>
      </c>
      <c r="G81" s="104">
        <f>IF(A81&gt;=Parameters!$B$28,1,MIN(C81*(1-Parameters!$B$52),1))</f>
        <v>0.22158819999999999</v>
      </c>
    </row>
    <row r="82" spans="1:7">
      <c r="A82" s="103">
        <v>100</v>
      </c>
      <c r="B82" s="104">
        <v>0.45280399999999998</v>
      </c>
      <c r="C82" s="104">
        <v>0.28985</v>
      </c>
      <c r="D82" s="109">
        <f>MIN(B82*(1+Parameters!$B$51),1)</f>
        <v>0.54336479999999998</v>
      </c>
      <c r="E82" s="106">
        <f>MIN(C82*(1+Parameters!$B$51),1)</f>
        <v>0.34781999999999996</v>
      </c>
      <c r="F82" s="104">
        <f>IF(A82&gt;=Parameters!$B$28,1,MIN(B82*(1-Parameters!$B$52),1))</f>
        <v>0.38488339999999999</v>
      </c>
      <c r="G82" s="104">
        <f>IF(A82&gt;=Parameters!$B$28,1,MIN(C82*(1-Parameters!$B$52),1))</f>
        <v>0.24637249999999999</v>
      </c>
    </row>
    <row r="83" spans="1:7">
      <c r="A83" s="103">
        <v>101</v>
      </c>
      <c r="B83" s="104">
        <v>0.48953200000000002</v>
      </c>
      <c r="C83" s="104">
        <v>0.32150699999999999</v>
      </c>
      <c r="D83" s="109">
        <f>MIN(B83*(1+Parameters!$B$51),1)</f>
        <v>0.58743840000000003</v>
      </c>
      <c r="E83" s="106">
        <f>MIN(C83*(1+Parameters!$B$51),1)</f>
        <v>0.3858084</v>
      </c>
      <c r="F83" s="104">
        <f>IF(A83&gt;=Parameters!$B$28,1,MIN(B83*(1-Parameters!$B$52),1))</f>
        <v>0.41610220000000003</v>
      </c>
      <c r="G83" s="104">
        <f>IF(A83&gt;=Parameters!$B$28,1,MIN(C83*(1-Parameters!$B$52),1))</f>
        <v>0.27328094999999997</v>
      </c>
    </row>
    <row r="84" spans="1:7">
      <c r="A84" s="103">
        <v>102</v>
      </c>
      <c r="B84" s="104">
        <v>0.52695199999999998</v>
      </c>
      <c r="C84" s="104">
        <v>0.35573100000000002</v>
      </c>
      <c r="D84" s="109">
        <f>MIN(B84*(1+Parameters!$B$51),1)</f>
        <v>0.63234239999999997</v>
      </c>
      <c r="E84" s="106">
        <f>MIN(C84*(1+Parameters!$B$51),1)</f>
        <v>0.42687720000000001</v>
      </c>
      <c r="F84" s="104">
        <f>IF(A84&gt;=Parameters!$B$28,1,MIN(B84*(1-Parameters!$B$52),1))</f>
        <v>0.44790919999999995</v>
      </c>
      <c r="G84" s="104">
        <f>IF(A84&gt;=Parameters!$B$28,1,MIN(C84*(1-Parameters!$B$52),1))</f>
        <v>0.30237134999999998</v>
      </c>
    </row>
    <row r="85" spans="1:7">
      <c r="A85" s="103">
        <v>103</v>
      </c>
      <c r="B85" s="104">
        <v>0.56487399999999999</v>
      </c>
      <c r="C85" s="104">
        <v>0.392563</v>
      </c>
      <c r="D85" s="109">
        <f>MIN(B85*(1+Parameters!$B$51),1)</f>
        <v>0.67784879999999992</v>
      </c>
      <c r="E85" s="106">
        <f>MIN(C85*(1+Parameters!$B$51),1)</f>
        <v>0.47107559999999998</v>
      </c>
      <c r="F85" s="104">
        <f>IF(A85&gt;=Parameters!$B$28,1,MIN(B85*(1-Parameters!$B$52),1))</f>
        <v>0.48014289999999998</v>
      </c>
      <c r="G85" s="104">
        <f>IF(A85&gt;=Parameters!$B$28,1,MIN(C85*(1-Parameters!$B$52),1))</f>
        <v>0.33367854999999996</v>
      </c>
    </row>
    <row r="86" spans="1:7">
      <c r="A86" s="103">
        <v>104</v>
      </c>
      <c r="B86" s="104">
        <v>0.60311000000000003</v>
      </c>
      <c r="C86" s="104">
        <v>0.43201000000000001</v>
      </c>
      <c r="D86" s="109">
        <f>MIN(B86*(1+Parameters!$B$51),1)</f>
        <v>0.72373200000000004</v>
      </c>
      <c r="E86" s="106">
        <f>MIN(C86*(1+Parameters!$B$51),1)</f>
        <v>0.51841199999999998</v>
      </c>
      <c r="F86" s="104">
        <f>IF(A86&gt;=Parameters!$B$28,1,MIN(B86*(1-Parameters!$B$52),1))</f>
        <v>0.51264350000000003</v>
      </c>
      <c r="G86" s="104">
        <f>IF(A86&gt;=Parameters!$B$28,1,MIN(C86*(1-Parameters!$B$52),1))</f>
        <v>0.36720849999999999</v>
      </c>
    </row>
    <row r="87" spans="1:7">
      <c r="A87" s="103">
        <v>105</v>
      </c>
      <c r="B87" s="104">
        <v>0.64147699999999996</v>
      </c>
      <c r="C87" s="104">
        <v>0.47404200000000002</v>
      </c>
      <c r="D87" s="109">
        <f>MIN(B87*(1+Parameters!$B$51),1)</f>
        <v>0.76977239999999991</v>
      </c>
      <c r="E87" s="106">
        <f>MIN(C87*(1+Parameters!$B$51),1)</f>
        <v>0.56885039999999998</v>
      </c>
      <c r="F87" s="104">
        <f>IF(A87&gt;=Parameters!$B$28,1,MIN(B87*(1-Parameters!$B$52),1))</f>
        <v>0.54525544999999997</v>
      </c>
      <c r="G87" s="104">
        <f>IF(A87&gt;=Parameters!$B$28,1,MIN(C87*(1-Parameters!$B$52),1))</f>
        <v>0.40293570000000001</v>
      </c>
    </row>
    <row r="88" spans="1:7">
      <c r="A88" s="103">
        <v>106</v>
      </c>
      <c r="B88" s="104">
        <v>0.67979800000000001</v>
      </c>
      <c r="C88" s="104">
        <v>0.51859</v>
      </c>
      <c r="D88" s="109">
        <f>MIN(B88*(1+Parameters!$B$51),1)</f>
        <v>0.81575759999999997</v>
      </c>
      <c r="E88" s="106">
        <f>MIN(C88*(1+Parameters!$B$51),1)</f>
        <v>0.62230799999999997</v>
      </c>
      <c r="F88" s="104">
        <f>IF(A88&gt;=Parameters!$B$28,1,MIN(B88*(1-Parameters!$B$52),1))</f>
        <v>0.57782829999999996</v>
      </c>
      <c r="G88" s="104">
        <f>IF(A88&gt;=Parameters!$B$28,1,MIN(C88*(1-Parameters!$B$52),1))</f>
        <v>0.44080149999999996</v>
      </c>
    </row>
    <row r="89" spans="1:7">
      <c r="A89" s="103">
        <v>107</v>
      </c>
      <c r="B89" s="104">
        <v>0.71790900000000002</v>
      </c>
      <c r="C89" s="104">
        <v>0.56554099999999996</v>
      </c>
      <c r="D89" s="109">
        <f>MIN(B89*(1+Parameters!$B$51),1)</f>
        <v>0.8614908</v>
      </c>
      <c r="E89" s="106">
        <f>MIN(C89*(1+Parameters!$B$51),1)</f>
        <v>0.67864919999999995</v>
      </c>
      <c r="F89" s="104">
        <f>IF(A89&gt;=Parameters!$B$28,1,MIN(B89*(1-Parameters!$B$52),1))</f>
        <v>0.61022264999999998</v>
      </c>
      <c r="G89" s="104">
        <f>IF(A89&gt;=Parameters!$B$28,1,MIN(C89*(1-Parameters!$B$52),1))</f>
        <v>0.48070984999999994</v>
      </c>
    </row>
    <row r="90" spans="1:7">
      <c r="A90" s="103">
        <v>108</v>
      </c>
      <c r="B90" s="104">
        <v>0.75565599999999999</v>
      </c>
      <c r="C90" s="104">
        <v>0.61473599999999995</v>
      </c>
      <c r="D90" s="109">
        <f>MIN(B90*(1+Parameters!$B$51),1)</f>
        <v>0.9067871999999999</v>
      </c>
      <c r="E90" s="106">
        <f>MIN(C90*(1+Parameters!$B$51),1)</f>
        <v>0.73768319999999987</v>
      </c>
      <c r="F90" s="104">
        <f>IF(A90&gt;=Parameters!$B$28,1,MIN(B90*(1-Parameters!$B$52),1))</f>
        <v>0.64230759999999998</v>
      </c>
      <c r="G90" s="104">
        <f>IF(A90&gt;=Parameters!$B$28,1,MIN(C90*(1-Parameters!$B$52),1))</f>
        <v>0.52252559999999992</v>
      </c>
    </row>
    <row r="91" spans="1:7">
      <c r="A91" s="103">
        <v>109</v>
      </c>
      <c r="B91" s="104">
        <v>0.79290099999999997</v>
      </c>
      <c r="C91" s="104">
        <v>0.66597099999999998</v>
      </c>
      <c r="D91" s="109">
        <f>MIN(B91*(1+Parameters!$B$51),1)</f>
        <v>0.95148119999999992</v>
      </c>
      <c r="E91" s="106">
        <f>MIN(C91*(1+Parameters!$B$51),1)</f>
        <v>0.79916519999999991</v>
      </c>
      <c r="F91" s="104">
        <f>IF(A91&gt;=Parameters!$B$28,1,MIN(B91*(1-Parameters!$B$52),1))</f>
        <v>0.67396584999999998</v>
      </c>
      <c r="G91" s="104">
        <f>IF(A91&gt;=Parameters!$B$28,1,MIN(C91*(1-Parameters!$B$52),1))</f>
        <v>0.56607534999999998</v>
      </c>
    </row>
    <row r="92" spans="1:7">
      <c r="A92" s="103">
        <v>110</v>
      </c>
      <c r="B92" s="104">
        <v>0.82952099999999995</v>
      </c>
      <c r="C92" s="104">
        <v>0.71899999999999997</v>
      </c>
      <c r="D92" s="109">
        <f>MIN(B92*(1+Parameters!$B$51),1)</f>
        <v>0.9954251999999999</v>
      </c>
      <c r="E92" s="106">
        <f>MIN(C92*(1+Parameters!$B$51),1)</f>
        <v>0.8627999999999999</v>
      </c>
      <c r="F92" s="104">
        <f>IF(A92&gt;=Parameters!$B$28,1,MIN(B92*(1-Parameters!$B$52),1))</f>
        <v>0.70509284999999999</v>
      </c>
      <c r="G92" s="104">
        <f>IF(A92&gt;=Parameters!$B$28,1,MIN(C92*(1-Parameters!$B$52),1))</f>
        <v>0.61114999999999997</v>
      </c>
    </row>
    <row r="93" spans="1:7">
      <c r="A93" s="103">
        <v>111</v>
      </c>
      <c r="B93" s="104">
        <v>0.86540799999999996</v>
      </c>
      <c r="C93" s="104">
        <v>0.77353499999999997</v>
      </c>
      <c r="D93" s="109">
        <f>MIN(B93*(1+Parameters!$B$51),1)</f>
        <v>1</v>
      </c>
      <c r="E93" s="106">
        <f>MIN(C93*(1+Parameters!$B$51),1)</f>
        <v>0.9282419999999999</v>
      </c>
      <c r="F93" s="104">
        <f>IF(A93&gt;=Parameters!$B$28,1,MIN(B93*(1-Parameters!$B$52),1))</f>
        <v>0.73559679999999994</v>
      </c>
      <c r="G93" s="104">
        <f>IF(A93&gt;=Parameters!$B$28,1,MIN(C93*(1-Parameters!$B$52),1))</f>
        <v>0.65750474999999997</v>
      </c>
    </row>
    <row r="94" spans="1:7">
      <c r="A94" s="103">
        <v>112</v>
      </c>
      <c r="B94" s="104">
        <v>0.90046800000000005</v>
      </c>
      <c r="C94" s="104">
        <v>0.82925800000000005</v>
      </c>
      <c r="D94" s="109">
        <f>MIN(B94*(1+Parameters!$B$51),1)</f>
        <v>1</v>
      </c>
      <c r="E94" s="106">
        <f>MIN(C94*(1+Parameters!$B$51),1)</f>
        <v>0.99510960000000004</v>
      </c>
      <c r="F94" s="104">
        <f>IF(A94&gt;=Parameters!$B$28,1,MIN(B94*(1-Parameters!$B$52),1))</f>
        <v>0.76539780000000002</v>
      </c>
      <c r="G94" s="104">
        <f>IF(A94&gt;=Parameters!$B$28,1,MIN(C94*(1-Parameters!$B$52),1))</f>
        <v>0.70486930000000003</v>
      </c>
    </row>
    <row r="95" spans="1:7">
      <c r="A95" s="103">
        <v>113</v>
      </c>
      <c r="B95" s="104">
        <v>0.93462599999999996</v>
      </c>
      <c r="C95" s="104">
        <v>0.88582000000000005</v>
      </c>
      <c r="D95" s="109">
        <f>MIN(B95*(1+Parameters!$B$51),1)</f>
        <v>1</v>
      </c>
      <c r="E95" s="106">
        <f>MIN(C95*(1+Parameters!$B$51),1)</f>
        <v>1</v>
      </c>
      <c r="F95" s="104">
        <f>IF(A95&gt;=Parameters!$B$28,1,MIN(B95*(1-Parameters!$B$52),1))</f>
        <v>0.79443209999999997</v>
      </c>
      <c r="G95" s="104">
        <f>IF(A95&gt;=Parameters!$B$28,1,MIN(C95*(1-Parameters!$B$52),1))</f>
        <v>0.75294700000000003</v>
      </c>
    </row>
    <row r="96" spans="1:7">
      <c r="A96" s="103">
        <v>114</v>
      </c>
      <c r="B96" s="104">
        <v>0.96781899999999998</v>
      </c>
      <c r="C96" s="104">
        <v>0.94285600000000003</v>
      </c>
      <c r="D96" s="109">
        <f>MIN(B96*(1+Parameters!$B$51),1)</f>
        <v>1</v>
      </c>
      <c r="E96" s="106">
        <f>MIN(C96*(1+Parameters!$B$51),1)</f>
        <v>1</v>
      </c>
      <c r="F96" s="104">
        <f>IF(A96&gt;=Parameters!$B$28,1,MIN(B96*(1-Parameters!$B$52),1))</f>
        <v>0.82264614999999996</v>
      </c>
      <c r="G96" s="104">
        <f>IF(A96&gt;=Parameters!$B$28,1,MIN(C96*(1-Parameters!$B$52),1))</f>
        <v>0.80142760000000002</v>
      </c>
    </row>
    <row r="97" spans="1:7">
      <c r="A97" s="103">
        <v>115</v>
      </c>
      <c r="B97" s="104">
        <v>1</v>
      </c>
      <c r="C97" s="104">
        <v>1</v>
      </c>
      <c r="D97" s="109">
        <f>MIN(B97*(1+Parameters!$B$51),1)</f>
        <v>1</v>
      </c>
      <c r="E97" s="106">
        <f>MIN(C97*(1+Parameters!$B$51),1)</f>
        <v>1</v>
      </c>
      <c r="F97" s="104">
        <f>IF(A97&gt;=Parameters!$B$28,1,MIN(B97*(1-Parameters!$B$52),1))</f>
        <v>1</v>
      </c>
      <c r="G97" s="104">
        <f>IF(A97&gt;=Parameters!$B$28,1,MIN(C97*(1-Parameters!$B$52),1))</f>
        <v>1</v>
      </c>
    </row>
    <row r="98" spans="1:7">
      <c r="A98" s="103">
        <v>116</v>
      </c>
      <c r="B98" s="104">
        <v>1</v>
      </c>
      <c r="C98" s="104">
        <v>1</v>
      </c>
      <c r="D98" s="109">
        <f>MIN(B98*(1+Parameters!$B$51),1)</f>
        <v>1</v>
      </c>
      <c r="E98" s="106">
        <f>MIN(C98*(1+Parameters!$B$51),1)</f>
        <v>1</v>
      </c>
      <c r="F98" s="104">
        <f>IF(A98&gt;=Parameters!$B$28,1,MIN(B98*(1-Parameters!$B$52),1))</f>
        <v>1</v>
      </c>
      <c r="G98" s="104">
        <f>IF(A98&gt;=Parameters!$B$28,1,MIN(C98*(1-Parameters!$B$52),1))</f>
        <v>1</v>
      </c>
    </row>
    <row r="99" spans="1:7">
      <c r="A99" s="103">
        <v>117</v>
      </c>
      <c r="B99" s="104">
        <v>1</v>
      </c>
      <c r="C99" s="104">
        <v>1</v>
      </c>
      <c r="D99" s="109">
        <f>MIN(B99*(1+Parameters!$B$51),1)</f>
        <v>1</v>
      </c>
      <c r="E99" s="106">
        <f>MIN(C99*(1+Parameters!$B$51),1)</f>
        <v>1</v>
      </c>
      <c r="F99" s="104">
        <f>IF(A99&gt;=Parameters!$B$28,1,MIN(B99*(1-Parameters!$B$52),1))</f>
        <v>1</v>
      </c>
      <c r="G99" s="104">
        <f>IF(A99&gt;=Parameters!$B$28,1,MIN(C99*(1-Parameters!$B$52),1))</f>
        <v>1</v>
      </c>
    </row>
    <row r="100" spans="1:7">
      <c r="A100" s="103">
        <v>118</v>
      </c>
      <c r="B100" s="104">
        <v>1</v>
      </c>
      <c r="C100" s="104">
        <v>1</v>
      </c>
      <c r="D100" s="109">
        <f>MIN(B100*(1+Parameters!$B$51),1)</f>
        <v>1</v>
      </c>
      <c r="E100" s="106">
        <f>MIN(C100*(1+Parameters!$B$51),1)</f>
        <v>1</v>
      </c>
      <c r="F100" s="104">
        <f>IF(A100&gt;=Parameters!$B$28,1,MIN(B100*(1-Parameters!$B$52),1))</f>
        <v>1</v>
      </c>
      <c r="G100" s="104">
        <f>IF(A100&gt;=Parameters!$B$28,1,MIN(C100*(1-Parameters!$B$52),1))</f>
        <v>1</v>
      </c>
    </row>
    <row r="101" spans="1:7">
      <c r="A101" s="103">
        <v>119</v>
      </c>
      <c r="B101" s="104">
        <v>1</v>
      </c>
      <c r="C101" s="104">
        <v>1</v>
      </c>
      <c r="D101" s="109">
        <f>MIN(B101*(1+Parameters!$B$51),1)</f>
        <v>1</v>
      </c>
      <c r="E101" s="106">
        <f>MIN(C101*(1+Parameters!$B$51),1)</f>
        <v>1</v>
      </c>
      <c r="F101" s="104">
        <f>IF(A101&gt;=Parameters!$B$28,1,MIN(B101*(1-Parameters!$B$52),1))</f>
        <v>1</v>
      </c>
      <c r="G101" s="104">
        <f>IF(A101&gt;=Parameters!$B$28,1,MIN(C101*(1-Parameters!$B$52),1))</f>
        <v>1</v>
      </c>
    </row>
    <row r="102" spans="1:7">
      <c r="A102" s="103">
        <v>120</v>
      </c>
      <c r="B102" s="104">
        <v>1</v>
      </c>
      <c r="C102" s="104">
        <v>1</v>
      </c>
      <c r="D102" s="109">
        <f>MIN(B102*(1+Parameters!$B$51),1)</f>
        <v>1</v>
      </c>
      <c r="E102" s="106">
        <f>MIN(C102*(1+Parameters!$B$51),1)</f>
        <v>1</v>
      </c>
      <c r="F102" s="104">
        <f>IF(A102&gt;=Parameters!$B$28,1,MIN(B102*(1-Parameters!$B$52),1))</f>
        <v>1</v>
      </c>
      <c r="G102" s="104">
        <f>IF(A102&gt;=Parameters!$B$28,1,MIN(C102*(1-Parameters!$B$52),1))</f>
        <v>1</v>
      </c>
    </row>
  </sheetData>
  <mergeCells count="3">
    <mergeCell ref="B3:C3"/>
    <mergeCell ref="D3:E3"/>
    <mergeCell ref="F3:G3"/>
  </mergeCells>
  <printOptions gridLines="1"/>
  <pageMargins left="0.7" right="0.7" top="0.75" bottom="0.75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97"/>
  <sheetViews>
    <sheetView zoomScale="90" zoomScaleNormal="90" workbookViewId="0"/>
  </sheetViews>
  <sheetFormatPr defaultRowHeight="14.5"/>
  <cols>
    <col min="1" max="1" width="8.90625" style="35"/>
    <col min="3" max="3" width="8.90625" style="35"/>
    <col min="4" max="5" width="8.90625" style="1"/>
  </cols>
  <sheetData>
    <row r="1" spans="1:18">
      <c r="A1" s="99" t="s">
        <v>73</v>
      </c>
    </row>
    <row r="3" spans="1:18">
      <c r="B3" s="113" t="s">
        <v>37</v>
      </c>
      <c r="C3" s="114"/>
      <c r="D3" s="110" t="s">
        <v>47</v>
      </c>
      <c r="E3" s="115"/>
    </row>
    <row r="4" spans="1:18" ht="26.5">
      <c r="A4" s="101" t="s">
        <v>38</v>
      </c>
      <c r="B4" t="s">
        <v>14</v>
      </c>
      <c r="C4" s="35" t="s">
        <v>15</v>
      </c>
      <c r="D4" s="1" t="s">
        <v>14</v>
      </c>
      <c r="E4" s="1" t="s">
        <v>15</v>
      </c>
    </row>
    <row r="5" spans="1:18">
      <c r="A5" s="102">
        <v>18</v>
      </c>
      <c r="B5" s="19">
        <v>7.1000000000000002E-4</v>
      </c>
      <c r="C5" s="100">
        <v>2.9E-4</v>
      </c>
      <c r="D5" s="19">
        <f>MIN(1,B5*(1+Parameters!$B$53))</f>
        <v>8.8750000000000005E-4</v>
      </c>
      <c r="E5" s="19">
        <f>MIN(1,C5*(1+Parameters!$B$53))</f>
        <v>3.6249999999999998E-4</v>
      </c>
      <c r="O5" s="1"/>
      <c r="R5" s="1"/>
    </row>
    <row r="6" spans="1:18">
      <c r="A6" s="102">
        <v>19</v>
      </c>
      <c r="B6" s="19">
        <v>7.1000000000000002E-4</v>
      </c>
      <c r="C6" s="100">
        <v>3.2000000000000003E-4</v>
      </c>
      <c r="D6" s="19">
        <f>MIN(1,B6*(1+Parameters!$B$53))</f>
        <v>8.8750000000000005E-4</v>
      </c>
      <c r="E6" s="19">
        <f>MIN(1,C6*(1+Parameters!$B$53))</f>
        <v>4.0000000000000002E-4</v>
      </c>
      <c r="N6" s="1"/>
      <c r="O6" s="1"/>
      <c r="P6" s="1"/>
      <c r="Q6" s="1"/>
      <c r="R6" s="1"/>
    </row>
    <row r="7" spans="1:18">
      <c r="A7" s="102">
        <v>20</v>
      </c>
      <c r="B7" s="19">
        <v>7.1000000000000002E-4</v>
      </c>
      <c r="C7" s="100">
        <v>3.4000000000000002E-4</v>
      </c>
      <c r="D7" s="19">
        <f>MIN(1,B7*(1+Parameters!$B$53))</f>
        <v>8.8750000000000005E-4</v>
      </c>
      <c r="E7" s="19">
        <f>MIN(1,C7*(1+Parameters!$B$53))</f>
        <v>4.2500000000000003E-4</v>
      </c>
      <c r="N7" s="1"/>
      <c r="O7" s="1"/>
      <c r="P7" s="1"/>
      <c r="Q7" s="1"/>
      <c r="R7" s="1"/>
    </row>
    <row r="8" spans="1:18">
      <c r="A8" s="102">
        <v>21</v>
      </c>
      <c r="B8" s="19">
        <v>7.1000000000000002E-4</v>
      </c>
      <c r="C8" s="100">
        <v>3.6000000000000002E-4</v>
      </c>
      <c r="D8" s="19">
        <f>MIN(1,B8*(1+Parameters!$B$53))</f>
        <v>8.8750000000000005E-4</v>
      </c>
      <c r="E8" s="19">
        <f>MIN(1,C8*(1+Parameters!$B$53))</f>
        <v>4.5000000000000004E-4</v>
      </c>
      <c r="N8" s="1"/>
      <c r="O8" s="1"/>
      <c r="P8" s="1"/>
      <c r="Q8" s="1"/>
      <c r="R8" s="1"/>
    </row>
    <row r="9" spans="1:18">
      <c r="A9" s="102">
        <v>22</v>
      </c>
      <c r="B9" s="19">
        <v>7.1000000000000002E-4</v>
      </c>
      <c r="C9" s="100">
        <v>3.8999999999999999E-4</v>
      </c>
      <c r="D9" s="19">
        <f>MIN(1,B9*(1+Parameters!$B$53))</f>
        <v>8.8750000000000005E-4</v>
      </c>
      <c r="E9" s="19">
        <f>MIN(1,C9*(1+Parameters!$B$53))</f>
        <v>4.8749999999999998E-4</v>
      </c>
      <c r="N9" s="1"/>
      <c r="O9" s="1"/>
      <c r="P9" s="1"/>
      <c r="Q9" s="1"/>
      <c r="R9" s="1"/>
    </row>
    <row r="10" spans="1:18">
      <c r="A10" s="102">
        <v>23</v>
      </c>
      <c r="B10" s="19">
        <v>7.1000000000000002E-4</v>
      </c>
      <c r="C10" s="100">
        <v>4.2000000000000002E-4</v>
      </c>
      <c r="D10" s="19">
        <f>MIN(1,B10*(1+Parameters!$B$53))</f>
        <v>8.8750000000000005E-4</v>
      </c>
      <c r="E10" s="19">
        <f>MIN(1,C10*(1+Parameters!$B$53))</f>
        <v>5.2500000000000008E-4</v>
      </c>
      <c r="N10" s="1"/>
      <c r="O10" s="1"/>
      <c r="P10" s="1"/>
      <c r="Q10" s="1"/>
      <c r="R10" s="1"/>
    </row>
    <row r="11" spans="1:18">
      <c r="A11" s="102">
        <v>24</v>
      </c>
      <c r="B11" s="19">
        <v>7.1000000000000002E-4</v>
      </c>
      <c r="C11" s="100">
        <v>4.6000000000000001E-4</v>
      </c>
      <c r="D11" s="19">
        <f>MIN(1,B11*(1+Parameters!$B$53))</f>
        <v>8.8750000000000005E-4</v>
      </c>
      <c r="E11" s="19">
        <f>MIN(1,C11*(1+Parameters!$B$53))</f>
        <v>5.7499999999999999E-4</v>
      </c>
      <c r="N11" s="1"/>
      <c r="O11" s="1"/>
      <c r="P11" s="1"/>
      <c r="Q11" s="1"/>
      <c r="R11" s="1"/>
    </row>
    <row r="12" spans="1:18">
      <c r="A12" s="102">
        <v>25</v>
      </c>
      <c r="B12" s="19">
        <v>7.1000000000000002E-4</v>
      </c>
      <c r="C12" s="100">
        <v>5.0000000000000001E-4</v>
      </c>
      <c r="D12" s="19">
        <f>MIN(1,B12*(1+Parameters!$B$53))</f>
        <v>8.8750000000000005E-4</v>
      </c>
      <c r="E12" s="19">
        <f>MIN(1,C12*(1+Parameters!$B$53))</f>
        <v>6.2500000000000001E-4</v>
      </c>
      <c r="N12" s="1"/>
      <c r="O12" s="1"/>
      <c r="P12" s="1"/>
      <c r="Q12" s="1"/>
      <c r="R12" s="1"/>
    </row>
    <row r="13" spans="1:18">
      <c r="A13" s="102">
        <v>26</v>
      </c>
      <c r="B13" s="19">
        <v>7.1000000000000002E-4</v>
      </c>
      <c r="C13" s="100">
        <v>5.4000000000000001E-4</v>
      </c>
      <c r="D13" s="19">
        <f>MIN(1,B13*(1+Parameters!$B$53))</f>
        <v>8.8750000000000005E-4</v>
      </c>
      <c r="E13" s="19">
        <f>MIN(1,C13*(1+Parameters!$B$53))</f>
        <v>6.7500000000000004E-4</v>
      </c>
      <c r="N13" s="1"/>
      <c r="O13" s="1"/>
      <c r="P13" s="1"/>
      <c r="Q13" s="1"/>
      <c r="R13" s="1"/>
    </row>
    <row r="14" spans="1:18">
      <c r="A14" s="102">
        <v>27</v>
      </c>
      <c r="B14" s="19">
        <v>7.2000000000000005E-4</v>
      </c>
      <c r="C14" s="100">
        <v>5.9000000000000003E-4</v>
      </c>
      <c r="D14" s="19">
        <f>MIN(1,B14*(1+Parameters!$B$53))</f>
        <v>9.0000000000000008E-4</v>
      </c>
      <c r="E14" s="19">
        <f>MIN(1,C14*(1+Parameters!$B$53))</f>
        <v>7.3750000000000009E-4</v>
      </c>
      <c r="N14" s="1"/>
      <c r="O14" s="1"/>
      <c r="P14" s="1"/>
      <c r="Q14" s="1"/>
      <c r="R14" s="1"/>
    </row>
    <row r="15" spans="1:18">
      <c r="A15" s="102">
        <v>28</v>
      </c>
      <c r="B15" s="19">
        <v>7.2999999999999996E-4</v>
      </c>
      <c r="C15" s="100">
        <v>6.4000000000000005E-4</v>
      </c>
      <c r="D15" s="19">
        <f>MIN(1,B15*(1+Parameters!$B$53))</f>
        <v>9.124999999999999E-4</v>
      </c>
      <c r="E15" s="19">
        <f>MIN(1,C15*(1+Parameters!$B$53))</f>
        <v>8.0000000000000004E-4</v>
      </c>
      <c r="N15" s="1"/>
      <c r="O15" s="1"/>
      <c r="P15" s="1"/>
      <c r="Q15" s="1"/>
      <c r="R15" s="1"/>
    </row>
    <row r="16" spans="1:18">
      <c r="A16" s="102">
        <v>29</v>
      </c>
      <c r="B16" s="19">
        <v>7.3999999999999999E-4</v>
      </c>
      <c r="C16" s="100">
        <v>7.1000000000000002E-4</v>
      </c>
      <c r="D16" s="19">
        <f>MIN(1,B16*(1+Parameters!$B$53))</f>
        <v>9.2500000000000004E-4</v>
      </c>
      <c r="E16" s="19">
        <f>MIN(1,C16*(1+Parameters!$B$53))</f>
        <v>8.8750000000000005E-4</v>
      </c>
      <c r="N16" s="1"/>
      <c r="O16" s="1"/>
      <c r="P16" s="1"/>
      <c r="Q16" s="1"/>
      <c r="R16" s="1"/>
    </row>
    <row r="17" spans="1:18">
      <c r="A17" s="102">
        <v>30</v>
      </c>
      <c r="B17" s="19">
        <v>7.6000000000000004E-4</v>
      </c>
      <c r="C17" s="100">
        <v>7.9000000000000001E-4</v>
      </c>
      <c r="D17" s="19">
        <f>MIN(1,B17*(1+Parameters!$B$53))</f>
        <v>9.5000000000000011E-4</v>
      </c>
      <c r="E17" s="19">
        <f>MIN(1,C17*(1+Parameters!$B$53))</f>
        <v>9.875000000000001E-4</v>
      </c>
      <c r="N17" s="1"/>
      <c r="O17" s="1"/>
      <c r="P17" s="1"/>
      <c r="Q17" s="1"/>
      <c r="R17" s="1"/>
    </row>
    <row r="18" spans="1:18">
      <c r="A18" s="102">
        <v>31</v>
      </c>
      <c r="B18" s="19">
        <v>7.9000000000000001E-4</v>
      </c>
      <c r="C18" s="100">
        <v>8.7000000000000001E-4</v>
      </c>
      <c r="D18" s="19">
        <f>MIN(1,B18*(1+Parameters!$B$53))</f>
        <v>9.875000000000001E-4</v>
      </c>
      <c r="E18" s="19">
        <f>MIN(1,C18*(1+Parameters!$B$53))</f>
        <v>1.0874999999999999E-3</v>
      </c>
      <c r="N18" s="1"/>
      <c r="O18" s="1"/>
      <c r="P18" s="1"/>
      <c r="Q18" s="1"/>
      <c r="R18" s="1"/>
    </row>
    <row r="19" spans="1:18">
      <c r="A19" s="102">
        <v>32</v>
      </c>
      <c r="B19" s="19">
        <v>8.1999999999999998E-4</v>
      </c>
      <c r="C19" s="100">
        <v>9.5E-4</v>
      </c>
      <c r="D19" s="19">
        <f>MIN(1,B19*(1+Parameters!$B$53))</f>
        <v>1.0249999999999999E-3</v>
      </c>
      <c r="E19" s="19">
        <f>MIN(1,C19*(1+Parameters!$B$53))</f>
        <v>1.1875E-3</v>
      </c>
      <c r="N19" s="1"/>
      <c r="O19" s="1"/>
      <c r="P19" s="1"/>
      <c r="Q19" s="1"/>
      <c r="R19" s="1"/>
    </row>
    <row r="20" spans="1:18">
      <c r="A20" s="102">
        <v>33</v>
      </c>
      <c r="B20" s="19">
        <v>8.8000000000000003E-4</v>
      </c>
      <c r="C20" s="100">
        <v>1.0399999999999999E-3</v>
      </c>
      <c r="D20" s="19">
        <f>MIN(1,B20*(1+Parameters!$B$53))</f>
        <v>1.1000000000000001E-3</v>
      </c>
      <c r="E20" s="19">
        <f>MIN(1,C20*(1+Parameters!$B$53))</f>
        <v>1.2999999999999999E-3</v>
      </c>
      <c r="N20" s="1"/>
      <c r="O20" s="1"/>
      <c r="P20" s="1"/>
      <c r="Q20" s="1"/>
      <c r="R20" s="1"/>
    </row>
    <row r="21" spans="1:18">
      <c r="A21" s="102">
        <v>34</v>
      </c>
      <c r="B21" s="19">
        <v>9.3999999999999997E-4</v>
      </c>
      <c r="C21" s="100">
        <v>1.1299999999999999E-3</v>
      </c>
      <c r="D21" s="19">
        <f>MIN(1,B21*(1+Parameters!$B$53))</f>
        <v>1.175E-3</v>
      </c>
      <c r="E21" s="19">
        <f>MIN(1,C21*(1+Parameters!$B$53))</f>
        <v>1.4124999999999999E-3</v>
      </c>
      <c r="N21" s="1"/>
      <c r="O21" s="1"/>
      <c r="P21" s="1"/>
      <c r="Q21" s="1"/>
      <c r="R21" s="1"/>
    </row>
    <row r="22" spans="1:18">
      <c r="A22" s="102">
        <v>35</v>
      </c>
      <c r="B22" s="19">
        <v>1.01E-3</v>
      </c>
      <c r="C22" s="100">
        <v>1.2199999999999999E-3</v>
      </c>
      <c r="D22" s="19">
        <f>MIN(1,B22*(1+Parameters!$B$53))</f>
        <v>1.2625000000000002E-3</v>
      </c>
      <c r="E22" s="19">
        <f>MIN(1,C22*(1+Parameters!$B$53))</f>
        <v>1.5249999999999999E-3</v>
      </c>
      <c r="N22" s="1"/>
      <c r="O22" s="1"/>
      <c r="P22" s="1"/>
      <c r="Q22" s="1"/>
      <c r="R22" s="1"/>
    </row>
    <row r="23" spans="1:18">
      <c r="A23" s="102">
        <v>36</v>
      </c>
      <c r="B23" s="19">
        <v>1.1000000000000001E-3</v>
      </c>
      <c r="C23" s="100">
        <v>1.32E-3</v>
      </c>
      <c r="D23" s="19">
        <f>MIN(1,B23*(1+Parameters!$B$53))</f>
        <v>1.3750000000000001E-3</v>
      </c>
      <c r="E23" s="19">
        <f>MIN(1,C23*(1+Parameters!$B$53))</f>
        <v>1.65E-3</v>
      </c>
      <c r="N23" s="1"/>
      <c r="O23" s="1"/>
      <c r="P23" s="1"/>
      <c r="Q23" s="1"/>
      <c r="R23" s="1"/>
    </row>
    <row r="24" spans="1:18">
      <c r="A24" s="102">
        <v>37</v>
      </c>
      <c r="B24" s="19">
        <v>1.1999999999999999E-3</v>
      </c>
      <c r="C24" s="100">
        <v>1.42E-3</v>
      </c>
      <c r="D24" s="19">
        <f>MIN(1,B24*(1+Parameters!$B$53))</f>
        <v>1.4999999999999998E-3</v>
      </c>
      <c r="E24" s="19">
        <f>MIN(1,C24*(1+Parameters!$B$53))</f>
        <v>1.7750000000000001E-3</v>
      </c>
      <c r="N24" s="1"/>
      <c r="O24" s="1"/>
      <c r="P24" s="1"/>
      <c r="Q24" s="1"/>
      <c r="R24" s="1"/>
    </row>
    <row r="25" spans="1:18">
      <c r="A25" s="102">
        <v>38</v>
      </c>
      <c r="B25" s="19">
        <v>1.31E-3</v>
      </c>
      <c r="C25" s="100">
        <v>1.5200000000000001E-3</v>
      </c>
      <c r="D25" s="19">
        <f>MIN(1,B25*(1+Parameters!$B$53))</f>
        <v>1.6375000000000001E-3</v>
      </c>
      <c r="E25" s="19">
        <f>MIN(1,C25*(1+Parameters!$B$53))</f>
        <v>1.9000000000000002E-3</v>
      </c>
      <c r="N25" s="1"/>
      <c r="O25" s="1"/>
      <c r="P25" s="1"/>
      <c r="Q25" s="1"/>
      <c r="R25" s="1"/>
    </row>
    <row r="26" spans="1:18">
      <c r="A26" s="102">
        <v>39</v>
      </c>
      <c r="B26" s="19">
        <v>1.4300000000000001E-3</v>
      </c>
      <c r="C26" s="100">
        <v>1.6299999999999999E-3</v>
      </c>
      <c r="D26" s="19">
        <f>MIN(1,B26*(1+Parameters!$B$53))</f>
        <v>1.7875E-3</v>
      </c>
      <c r="E26" s="19">
        <f>MIN(1,C26*(1+Parameters!$B$53))</f>
        <v>2.0374999999999998E-3</v>
      </c>
      <c r="N26" s="1"/>
      <c r="O26" s="1"/>
      <c r="P26" s="1"/>
      <c r="Q26" s="1"/>
      <c r="R26" s="1"/>
    </row>
    <row r="27" spans="1:18">
      <c r="A27" s="102">
        <v>40</v>
      </c>
      <c r="B27" s="19">
        <v>1.56E-3</v>
      </c>
      <c r="C27" s="100">
        <v>1.75E-3</v>
      </c>
      <c r="D27" s="19">
        <f>MIN(1,B27*(1+Parameters!$B$53))</f>
        <v>1.9499999999999999E-3</v>
      </c>
      <c r="E27" s="19">
        <f>MIN(1,C27*(1+Parameters!$B$53))</f>
        <v>2.1875000000000002E-3</v>
      </c>
      <c r="N27" s="1"/>
      <c r="O27" s="1"/>
      <c r="P27" s="1"/>
      <c r="Q27" s="1"/>
      <c r="R27" s="1"/>
    </row>
    <row r="28" spans="1:18">
      <c r="A28" s="102">
        <v>41</v>
      </c>
      <c r="B28" s="19">
        <v>1.6900000000000001E-3</v>
      </c>
      <c r="C28" s="100">
        <v>1.92E-3</v>
      </c>
      <c r="D28" s="19">
        <f>MIN(1,B28*(1+Parameters!$B$53))</f>
        <v>2.1125000000000002E-3</v>
      </c>
      <c r="E28" s="19">
        <f>MIN(1,C28*(1+Parameters!$B$53))</f>
        <v>2.4000000000000002E-3</v>
      </c>
      <c r="N28" s="1"/>
      <c r="O28" s="1"/>
      <c r="P28" s="1"/>
      <c r="Q28" s="1"/>
      <c r="R28" s="1"/>
    </row>
    <row r="29" spans="1:18">
      <c r="A29" s="102">
        <v>42</v>
      </c>
      <c r="B29" s="19">
        <v>1.82E-3</v>
      </c>
      <c r="C29" s="100">
        <v>2.0899999999999998E-3</v>
      </c>
      <c r="D29" s="19">
        <f>MIN(1,B29*(1+Parameters!$B$53))</f>
        <v>2.2750000000000001E-3</v>
      </c>
      <c r="E29" s="19">
        <f>MIN(1,C29*(1+Parameters!$B$53))</f>
        <v>2.6124999999999998E-3</v>
      </c>
      <c r="N29" s="1"/>
      <c r="O29" s="1"/>
      <c r="P29" s="1"/>
      <c r="Q29" s="1"/>
      <c r="R29" s="1"/>
    </row>
    <row r="30" spans="1:18">
      <c r="A30" s="102">
        <v>43</v>
      </c>
      <c r="B30" s="19">
        <v>1.97E-3</v>
      </c>
      <c r="C30" s="100">
        <v>2.2599999999999999E-3</v>
      </c>
      <c r="D30" s="19">
        <f>MIN(1,B30*(1+Parameters!$B$53))</f>
        <v>2.4624999999999998E-3</v>
      </c>
      <c r="E30" s="19">
        <f>MIN(1,C30*(1+Parameters!$B$53))</f>
        <v>2.8249999999999998E-3</v>
      </c>
      <c r="N30" s="1"/>
      <c r="O30" s="1"/>
      <c r="P30" s="1"/>
      <c r="Q30" s="1"/>
      <c r="R30" s="1"/>
    </row>
    <row r="31" spans="1:18">
      <c r="A31" s="102">
        <v>44</v>
      </c>
      <c r="B31" s="19">
        <v>2.1199999999999999E-3</v>
      </c>
      <c r="C31" s="100">
        <v>2.4399999999999999E-3</v>
      </c>
      <c r="D31" s="19">
        <f>MIN(1,B31*(1+Parameters!$B$53))</f>
        <v>2.65E-3</v>
      </c>
      <c r="E31" s="19">
        <f>MIN(1,C31*(1+Parameters!$B$53))</f>
        <v>3.0499999999999998E-3</v>
      </c>
      <c r="N31" s="1"/>
      <c r="O31" s="1"/>
      <c r="P31" s="1"/>
      <c r="Q31" s="1"/>
      <c r="R31" s="1"/>
    </row>
    <row r="32" spans="1:18">
      <c r="A32" s="102">
        <v>45</v>
      </c>
      <c r="B32" s="19">
        <v>2.31E-3</v>
      </c>
      <c r="C32" s="100">
        <v>2.6199999999999999E-3</v>
      </c>
      <c r="D32" s="19">
        <f>MIN(1,B32*(1+Parameters!$B$53))</f>
        <v>2.8874999999999999E-3</v>
      </c>
      <c r="E32" s="19">
        <f>MIN(1,C32*(1+Parameters!$B$53))</f>
        <v>3.2750000000000001E-3</v>
      </c>
      <c r="N32" s="1"/>
      <c r="O32" s="1"/>
      <c r="P32" s="1"/>
      <c r="Q32" s="1"/>
      <c r="R32" s="1"/>
    </row>
    <row r="33" spans="1:18">
      <c r="A33" s="102">
        <v>46</v>
      </c>
      <c r="B33" s="19">
        <v>2.5600000000000002E-3</v>
      </c>
      <c r="C33" s="100">
        <v>2.81E-3</v>
      </c>
      <c r="D33" s="19">
        <f>MIN(1,B33*(1+Parameters!$B$53))</f>
        <v>3.2000000000000002E-3</v>
      </c>
      <c r="E33" s="19">
        <f>MIN(1,C33*(1+Parameters!$B$53))</f>
        <v>3.5125E-3</v>
      </c>
      <c r="N33" s="1"/>
      <c r="O33" s="1"/>
      <c r="P33" s="1"/>
      <c r="Q33" s="1"/>
      <c r="R33" s="1"/>
    </row>
    <row r="34" spans="1:18">
      <c r="A34" s="102">
        <v>47</v>
      </c>
      <c r="B34" s="19">
        <v>2.8500000000000001E-3</v>
      </c>
      <c r="C34" s="100">
        <v>3.0100000000000001E-3</v>
      </c>
      <c r="D34" s="19">
        <f>MIN(1,B34*(1+Parameters!$B$53))</f>
        <v>3.5625000000000001E-3</v>
      </c>
      <c r="E34" s="19">
        <f>MIN(1,C34*(1+Parameters!$B$53))</f>
        <v>3.7625000000000002E-3</v>
      </c>
      <c r="N34" s="1"/>
      <c r="O34" s="1"/>
      <c r="P34" s="1"/>
      <c r="Q34" s="1"/>
      <c r="R34" s="1"/>
    </row>
    <row r="35" spans="1:18">
      <c r="A35" s="102">
        <v>48</v>
      </c>
      <c r="B35" s="19">
        <v>3.15E-3</v>
      </c>
      <c r="C35" s="100">
        <v>3.2599999999999999E-3</v>
      </c>
      <c r="D35" s="19">
        <f>MIN(1,B35*(1+Parameters!$B$53))</f>
        <v>3.9375E-3</v>
      </c>
      <c r="E35" s="19">
        <f>MIN(1,C35*(1+Parameters!$B$53))</f>
        <v>4.0749999999999996E-3</v>
      </c>
      <c r="N35" s="1"/>
      <c r="O35" s="1"/>
      <c r="P35" s="1"/>
      <c r="Q35" s="1"/>
      <c r="R35" s="1"/>
    </row>
    <row r="36" spans="1:18">
      <c r="A36" s="102">
        <v>49</v>
      </c>
      <c r="B36" s="19">
        <v>3.5400000000000002E-3</v>
      </c>
      <c r="C36" s="100">
        <v>3.5500000000000002E-3</v>
      </c>
      <c r="D36" s="19">
        <f>MIN(1,B36*(1+Parameters!$B$53))</f>
        <v>4.4250000000000001E-3</v>
      </c>
      <c r="E36" s="19">
        <f>MIN(1,C36*(1+Parameters!$B$53))</f>
        <v>4.4375000000000005E-3</v>
      </c>
      <c r="N36" s="1"/>
      <c r="O36" s="1"/>
      <c r="P36" s="1"/>
      <c r="Q36" s="1"/>
      <c r="R36" s="1"/>
    </row>
    <row r="37" spans="1:18">
      <c r="A37" s="102">
        <v>50</v>
      </c>
      <c r="B37" s="19">
        <v>4.0499999999999998E-3</v>
      </c>
      <c r="C37" s="100">
        <v>3.8500000000000001E-3</v>
      </c>
      <c r="D37" s="19">
        <f>MIN(1,B37*(1+Parameters!$B$53))</f>
        <v>5.0624999999999993E-3</v>
      </c>
      <c r="E37" s="19">
        <f>MIN(1,C37*(1+Parameters!$B$53))</f>
        <v>4.8124999999999999E-3</v>
      </c>
      <c r="N37" s="1"/>
      <c r="O37" s="1"/>
      <c r="P37" s="1"/>
      <c r="Q37" s="1"/>
      <c r="R37" s="1"/>
    </row>
    <row r="38" spans="1:18">
      <c r="A38" s="102">
        <v>51</v>
      </c>
      <c r="B38" s="19">
        <v>4.6100000000000004E-3</v>
      </c>
      <c r="C38" s="100">
        <v>4.1900000000000001E-3</v>
      </c>
      <c r="D38" s="19">
        <f>MIN(1,B38*(1+Parameters!$B$53))</f>
        <v>5.7625000000000003E-3</v>
      </c>
      <c r="E38" s="19">
        <f>MIN(1,C38*(1+Parameters!$B$53))</f>
        <v>5.2375E-3</v>
      </c>
      <c r="N38" s="1"/>
      <c r="O38" s="1"/>
      <c r="P38" s="1"/>
      <c r="Q38" s="1"/>
      <c r="R38" s="1"/>
    </row>
    <row r="39" spans="1:18">
      <c r="A39" s="102">
        <v>52</v>
      </c>
      <c r="B39" s="19">
        <v>5.2100000000000002E-3</v>
      </c>
      <c r="C39" s="100">
        <v>4.5599999999999998E-3</v>
      </c>
      <c r="D39" s="19">
        <f>MIN(1,B39*(1+Parameters!$B$53))</f>
        <v>6.5125000000000001E-3</v>
      </c>
      <c r="E39" s="19">
        <f>MIN(1,C39*(1+Parameters!$B$53))</f>
        <v>5.7000000000000002E-3</v>
      </c>
      <c r="N39" s="1"/>
      <c r="O39" s="1"/>
      <c r="P39" s="1"/>
      <c r="Q39" s="1"/>
      <c r="R39" s="1"/>
    </row>
    <row r="40" spans="1:18">
      <c r="A40" s="102">
        <v>53</v>
      </c>
      <c r="B40" s="19">
        <v>5.8399999999999997E-3</v>
      </c>
      <c r="C40" s="100">
        <v>4.9399999999999999E-3</v>
      </c>
      <c r="D40" s="19">
        <f>MIN(1,B40*(1+Parameters!$B$53))</f>
        <v>7.2999999999999992E-3</v>
      </c>
      <c r="E40" s="19">
        <f>MIN(1,C40*(1+Parameters!$B$53))</f>
        <v>6.1749999999999999E-3</v>
      </c>
      <c r="N40" s="1"/>
      <c r="O40" s="1"/>
      <c r="P40" s="1"/>
      <c r="Q40" s="1"/>
      <c r="R40" s="1"/>
    </row>
    <row r="41" spans="1:18">
      <c r="A41" s="102">
        <v>54</v>
      </c>
      <c r="B41" s="19">
        <v>6.4799999999999996E-3</v>
      </c>
      <c r="C41" s="100">
        <v>5.3499999999999997E-3</v>
      </c>
      <c r="D41" s="19">
        <f>MIN(1,B41*(1+Parameters!$B$53))</f>
        <v>8.0999999999999996E-3</v>
      </c>
      <c r="E41" s="19">
        <f>MIN(1,C41*(1+Parameters!$B$53))</f>
        <v>6.6874999999999999E-3</v>
      </c>
      <c r="N41" s="1"/>
      <c r="O41" s="1"/>
      <c r="P41" s="1"/>
      <c r="Q41" s="1"/>
      <c r="R41" s="1"/>
    </row>
    <row r="42" spans="1:18">
      <c r="A42" s="102">
        <v>55</v>
      </c>
      <c r="B42" s="19">
        <v>7.1399999999999996E-3</v>
      </c>
      <c r="C42" s="100">
        <v>5.77E-3</v>
      </c>
      <c r="D42" s="19">
        <f>MIN(1,B42*(1+Parameters!$B$53))</f>
        <v>8.9249999999999989E-3</v>
      </c>
      <c r="E42" s="19">
        <f>MIN(1,C42*(1+Parameters!$B$53))</f>
        <v>7.2125000000000002E-3</v>
      </c>
      <c r="N42" s="1"/>
      <c r="O42" s="1"/>
      <c r="P42" s="1"/>
      <c r="Q42" s="1"/>
      <c r="R42" s="1"/>
    </row>
    <row r="43" spans="1:18">
      <c r="A43" s="102">
        <v>56</v>
      </c>
      <c r="B43" s="19">
        <v>7.8200000000000006E-3</v>
      </c>
      <c r="C43" s="100">
        <v>6.1900000000000002E-3</v>
      </c>
      <c r="D43" s="19">
        <f>MIN(1,B43*(1+Parameters!$B$53))</f>
        <v>9.7750000000000007E-3</v>
      </c>
      <c r="E43" s="19">
        <f>MIN(1,C43*(1+Parameters!$B$53))</f>
        <v>7.7375000000000005E-3</v>
      </c>
      <c r="N43" s="1"/>
      <c r="O43" s="1"/>
      <c r="P43" s="1"/>
      <c r="Q43" s="1"/>
      <c r="R43" s="1"/>
    </row>
    <row r="44" spans="1:18">
      <c r="A44" s="102">
        <v>57</v>
      </c>
      <c r="B44" s="19">
        <v>8.5599999999999999E-3</v>
      </c>
      <c r="C44" s="100">
        <v>6.6299999999999996E-3</v>
      </c>
      <c r="D44" s="19">
        <f>MIN(1,B44*(1+Parameters!$B$53))</f>
        <v>1.0699999999999999E-2</v>
      </c>
      <c r="E44" s="19">
        <f>MIN(1,C44*(1+Parameters!$B$53))</f>
        <v>8.2874999999999997E-3</v>
      </c>
      <c r="N44" s="1"/>
      <c r="O44" s="1"/>
      <c r="P44" s="1"/>
      <c r="Q44" s="1"/>
      <c r="R44" s="1"/>
    </row>
    <row r="45" spans="1:18">
      <c r="A45" s="102">
        <v>58</v>
      </c>
      <c r="B45" s="19">
        <v>9.41E-3</v>
      </c>
      <c r="C45" s="100">
        <v>7.1000000000000013E-3</v>
      </c>
      <c r="D45" s="19">
        <f>MIN(1,B45*(1+Parameters!$B$53))</f>
        <v>1.17625E-2</v>
      </c>
      <c r="E45" s="19">
        <f>MIN(1,C45*(1+Parameters!$B$53))</f>
        <v>8.8750000000000009E-3</v>
      </c>
      <c r="N45" s="1"/>
      <c r="O45" s="1"/>
      <c r="P45" s="1"/>
      <c r="Q45" s="1"/>
      <c r="R45" s="1"/>
    </row>
    <row r="46" spans="1:18">
      <c r="A46" s="102">
        <v>59</v>
      </c>
      <c r="B46" s="19">
        <v>1.0370000000000001E-2</v>
      </c>
      <c r="C46" s="100">
        <v>7.6499999999999997E-3</v>
      </c>
      <c r="D46" s="19">
        <f>MIN(1,B46*(1+Parameters!$B$53))</f>
        <v>1.2962500000000002E-2</v>
      </c>
      <c r="E46" s="19">
        <f>MIN(1,C46*(1+Parameters!$B$53))</f>
        <v>9.5624999999999998E-3</v>
      </c>
      <c r="N46" s="1"/>
      <c r="O46" s="1"/>
      <c r="P46" s="1"/>
      <c r="Q46" s="1"/>
      <c r="R46" s="1"/>
    </row>
    <row r="47" spans="1:18">
      <c r="A47" s="102">
        <v>60</v>
      </c>
      <c r="B47" s="19">
        <v>1.1440000000000001E-2</v>
      </c>
      <c r="C47" s="100">
        <v>8.2400000000000008E-3</v>
      </c>
      <c r="D47" s="19">
        <f>MIN(1,B47*(1+Parameters!$B$53))</f>
        <v>1.43E-2</v>
      </c>
      <c r="E47" s="19">
        <f>MIN(1,C47*(1+Parameters!$B$53))</f>
        <v>1.03E-2</v>
      </c>
      <c r="N47" s="1"/>
      <c r="O47" s="1"/>
      <c r="P47" s="1"/>
      <c r="Q47" s="1"/>
      <c r="R47" s="1"/>
    </row>
    <row r="48" spans="1:18">
      <c r="A48" s="102">
        <v>61</v>
      </c>
      <c r="B48" s="19">
        <v>1.2659999999999999E-2</v>
      </c>
      <c r="C48" s="100">
        <v>8.94E-3</v>
      </c>
      <c r="D48" s="19">
        <f>MIN(1,B48*(1+Parameters!$B$53))</f>
        <v>1.5824999999999999E-2</v>
      </c>
      <c r="E48" s="19">
        <f>MIN(1,C48*(1+Parameters!$B$53))</f>
        <v>1.1175000000000001E-2</v>
      </c>
      <c r="N48" s="1"/>
      <c r="O48" s="1"/>
      <c r="P48" s="1"/>
      <c r="Q48" s="1"/>
      <c r="R48" s="1"/>
    </row>
    <row r="49" spans="1:18">
      <c r="A49" s="102">
        <v>62</v>
      </c>
      <c r="B49" s="19">
        <v>1.4080000000000001E-2</v>
      </c>
      <c r="C49" s="100">
        <v>9.7800000000000005E-3</v>
      </c>
      <c r="D49" s="19">
        <f>MIN(1,B49*(1+Parameters!$B$53))</f>
        <v>1.7600000000000001E-2</v>
      </c>
      <c r="E49" s="19">
        <f>MIN(1,C49*(1+Parameters!$B$53))</f>
        <v>1.2225E-2</v>
      </c>
      <c r="N49" s="1"/>
      <c r="O49" s="1"/>
      <c r="P49" s="1"/>
      <c r="Q49" s="1"/>
      <c r="R49" s="1"/>
    </row>
    <row r="50" spans="1:18">
      <c r="A50" s="102">
        <v>63</v>
      </c>
      <c r="B50" s="19">
        <v>1.575E-2</v>
      </c>
      <c r="C50" s="100">
        <v>1.072E-2</v>
      </c>
      <c r="D50" s="19">
        <f>MIN(1,B50*(1+Parameters!$B$53))</f>
        <v>1.96875E-2</v>
      </c>
      <c r="E50" s="19">
        <f>MIN(1,C50*(1+Parameters!$B$53))</f>
        <v>1.34E-2</v>
      </c>
      <c r="N50" s="1"/>
      <c r="O50" s="1"/>
      <c r="P50" s="1"/>
      <c r="Q50" s="1"/>
      <c r="R50" s="1"/>
    </row>
    <row r="51" spans="1:18">
      <c r="A51" s="102">
        <v>64</v>
      </c>
      <c r="B51" s="19">
        <v>1.7569999999999999E-2</v>
      </c>
      <c r="C51" s="100">
        <v>1.174E-2</v>
      </c>
      <c r="D51" s="19">
        <f>MIN(1,B51*(1+Parameters!$B$53))</f>
        <v>2.1962499999999999E-2</v>
      </c>
      <c r="E51" s="19">
        <f>MIN(1,C51*(1+Parameters!$B$53))</f>
        <v>1.4675000000000001E-2</v>
      </c>
      <c r="N51" s="1"/>
      <c r="O51" s="1"/>
      <c r="P51" s="1"/>
      <c r="Q51" s="1"/>
      <c r="R51" s="1"/>
    </row>
    <row r="52" spans="1:18">
      <c r="A52" s="102">
        <v>65</v>
      </c>
      <c r="B52" s="19">
        <v>1.959E-2</v>
      </c>
      <c r="C52" s="100">
        <v>1.286E-2</v>
      </c>
      <c r="D52" s="19">
        <f>MIN(1,B52*(1+Parameters!$B$53))</f>
        <v>2.4487499999999999E-2</v>
      </c>
      <c r="E52" s="19">
        <f>MIN(1,C52*(1+Parameters!$B$53))</f>
        <v>1.6074999999999999E-2</v>
      </c>
      <c r="N52" s="1"/>
      <c r="O52" s="1"/>
      <c r="P52" s="1"/>
      <c r="Q52" s="1"/>
      <c r="R52" s="1"/>
    </row>
    <row r="53" spans="1:18">
      <c r="A53" s="102">
        <v>66</v>
      </c>
      <c r="B53" s="19">
        <v>2.146E-2</v>
      </c>
      <c r="C53" s="100">
        <v>1.26E-2</v>
      </c>
      <c r="D53" s="19">
        <f>MIN(1,B53*(1+Parameters!$B$53))</f>
        <v>2.6825000000000002E-2</v>
      </c>
      <c r="E53" s="19">
        <f>MIN(1,C53*(1+Parameters!$B$53))</f>
        <v>1.575E-2</v>
      </c>
      <c r="N53" s="1"/>
      <c r="O53" s="1"/>
      <c r="P53" s="1"/>
      <c r="Q53" s="1"/>
      <c r="R53" s="1"/>
    </row>
    <row r="54" spans="1:18">
      <c r="A54" s="102">
        <v>67</v>
      </c>
      <c r="B54" s="19">
        <v>2.401E-2</v>
      </c>
      <c r="C54" s="100">
        <v>1.3979999999999999E-2</v>
      </c>
      <c r="D54" s="19">
        <f>MIN(1,B54*(1+Parameters!$B$53))</f>
        <v>3.0012500000000001E-2</v>
      </c>
      <c r="E54" s="19">
        <f>MIN(1,C54*(1+Parameters!$B$53))</f>
        <v>1.7474999999999997E-2</v>
      </c>
      <c r="N54" s="1"/>
      <c r="O54" s="1"/>
      <c r="P54" s="1"/>
      <c r="Q54" s="1"/>
      <c r="R54" s="1"/>
    </row>
    <row r="55" spans="1:18">
      <c r="A55" s="102">
        <v>68</v>
      </c>
      <c r="B55" s="19">
        <v>2.6870000000000002E-2</v>
      </c>
      <c r="C55" s="100">
        <v>1.554E-2</v>
      </c>
      <c r="D55" s="19">
        <f>MIN(1,B55*(1+Parameters!$B$53))</f>
        <v>3.3587499999999999E-2</v>
      </c>
      <c r="E55" s="19">
        <f>MIN(1,C55*(1+Parameters!$B$53))</f>
        <v>1.9425000000000001E-2</v>
      </c>
      <c r="N55" s="1"/>
      <c r="O55" s="1"/>
      <c r="P55" s="1"/>
      <c r="Q55" s="1"/>
      <c r="R55" s="1"/>
    </row>
    <row r="56" spans="1:18">
      <c r="A56" s="102">
        <v>69</v>
      </c>
      <c r="B56" s="19">
        <v>3.0040000000000001E-2</v>
      </c>
      <c r="C56" s="100">
        <v>1.7340000000000001E-2</v>
      </c>
      <c r="D56" s="19">
        <f>MIN(1,B56*(1+Parameters!$B$53))</f>
        <v>3.755E-2</v>
      </c>
      <c r="E56" s="19">
        <f>MIN(1,C56*(1+Parameters!$B$53))</f>
        <v>2.1675E-2</v>
      </c>
      <c r="N56" s="1"/>
      <c r="O56" s="1"/>
      <c r="P56" s="1"/>
      <c r="Q56" s="1"/>
      <c r="R56" s="1"/>
    </row>
    <row r="57" spans="1:18">
      <c r="A57" s="102">
        <v>70</v>
      </c>
      <c r="B57" s="19">
        <v>3.3570000000000003E-2</v>
      </c>
      <c r="C57" s="100">
        <v>1.941E-2</v>
      </c>
      <c r="D57" s="19">
        <f>MIN(1,B57*(1+Parameters!$B$53))</f>
        <v>4.19625E-2</v>
      </c>
      <c r="E57" s="19">
        <f>MIN(1,C57*(1+Parameters!$B$53))</f>
        <v>2.4262499999999999E-2</v>
      </c>
      <c r="N57" s="1"/>
      <c r="O57" s="1"/>
      <c r="P57" s="1"/>
      <c r="Q57" s="1"/>
      <c r="R57" s="1"/>
    </row>
    <row r="58" spans="1:18">
      <c r="A58" s="102">
        <v>71</v>
      </c>
      <c r="B58" s="19">
        <v>3.7490000000000002E-2</v>
      </c>
      <c r="C58" s="100">
        <v>2.1829999999999999E-2</v>
      </c>
      <c r="D58" s="19">
        <f>MIN(1,B58*(1+Parameters!$B$53))</f>
        <v>4.6862500000000001E-2</v>
      </c>
      <c r="E58" s="19">
        <f>MIN(1,C58*(1+Parameters!$B$53))</f>
        <v>2.7287499999999999E-2</v>
      </c>
      <c r="N58" s="1"/>
      <c r="O58" s="1"/>
      <c r="P58" s="1"/>
      <c r="Q58" s="1"/>
      <c r="R58" s="1"/>
    </row>
    <row r="59" spans="1:18">
      <c r="A59" s="102">
        <v>72</v>
      </c>
      <c r="B59" s="19">
        <v>4.1820000000000003E-2</v>
      </c>
      <c r="C59" s="100">
        <v>2.4590000000000001E-2</v>
      </c>
      <c r="D59" s="19">
        <f>MIN(1,B59*(1+Parameters!$B$53))</f>
        <v>5.2275000000000002E-2</v>
      </c>
      <c r="E59" s="19">
        <f>MIN(1,C59*(1+Parameters!$B$53))</f>
        <v>3.0737500000000001E-2</v>
      </c>
      <c r="N59" s="1"/>
      <c r="O59" s="1"/>
      <c r="P59" s="1"/>
      <c r="Q59" s="1"/>
      <c r="R59" s="1"/>
    </row>
    <row r="60" spans="1:18">
      <c r="A60" s="102">
        <v>73</v>
      </c>
      <c r="B60" s="19">
        <v>4.6550000000000001E-2</v>
      </c>
      <c r="C60" s="100">
        <v>2.7539999999999999E-2</v>
      </c>
      <c r="D60" s="19">
        <f>MIN(1,B60*(1+Parameters!$B$53))</f>
        <v>5.8187500000000003E-2</v>
      </c>
      <c r="E60" s="19">
        <f>MIN(1,C60*(1+Parameters!$B$53))</f>
        <v>3.4424999999999997E-2</v>
      </c>
      <c r="N60" s="1"/>
      <c r="O60" s="1"/>
      <c r="P60" s="1"/>
      <c r="Q60" s="1"/>
      <c r="R60" s="1"/>
    </row>
    <row r="61" spans="1:18">
      <c r="A61" s="102">
        <v>74</v>
      </c>
      <c r="B61" s="19">
        <v>5.1610000000000003E-2</v>
      </c>
      <c r="C61" s="100">
        <v>3.0800000000000001E-2</v>
      </c>
      <c r="D61" s="19">
        <f>MIN(1,B61*(1+Parameters!$B$53))</f>
        <v>6.45125E-2</v>
      </c>
      <c r="E61" s="19">
        <f>MIN(1,C61*(1+Parameters!$B$53))</f>
        <v>3.85E-2</v>
      </c>
      <c r="N61" s="1"/>
      <c r="O61" s="1"/>
      <c r="P61" s="1"/>
      <c r="Q61" s="1"/>
      <c r="R61" s="1"/>
    </row>
    <row r="62" spans="1:18">
      <c r="A62" s="102">
        <v>75</v>
      </c>
      <c r="B62" s="19">
        <v>5.6750000000000002E-2</v>
      </c>
      <c r="C62" s="100">
        <v>3.4329999999999999E-2</v>
      </c>
      <c r="D62" s="19">
        <f>MIN(1,B62*(1+Parameters!$B$53))</f>
        <v>7.0937500000000001E-2</v>
      </c>
      <c r="E62" s="19">
        <f>MIN(1,C62*(1+Parameters!$B$53))</f>
        <v>4.2912499999999999E-2</v>
      </c>
      <c r="N62" s="1"/>
      <c r="O62" s="1"/>
      <c r="P62" s="1"/>
      <c r="Q62" s="1"/>
      <c r="R62" s="1"/>
    </row>
    <row r="63" spans="1:18">
      <c r="A63" s="102">
        <v>76</v>
      </c>
      <c r="B63" s="19">
        <v>6.2179999999999999E-2</v>
      </c>
      <c r="C63" s="100">
        <v>3.8129999999999997E-2</v>
      </c>
      <c r="D63" s="19">
        <f>MIN(1,B63*(1+Parameters!$B$53))</f>
        <v>7.7725000000000002E-2</v>
      </c>
      <c r="E63" s="19">
        <f>MIN(1,C63*(1+Parameters!$B$53))</f>
        <v>4.7662499999999997E-2</v>
      </c>
      <c r="N63" s="1"/>
      <c r="O63" s="1"/>
      <c r="P63" s="1"/>
      <c r="Q63" s="1"/>
      <c r="R63" s="1"/>
    </row>
    <row r="64" spans="1:18">
      <c r="A64" s="102">
        <v>77</v>
      </c>
      <c r="B64" s="19">
        <v>6.7919999999999994E-2</v>
      </c>
      <c r="C64" s="100">
        <v>4.224E-2</v>
      </c>
      <c r="D64" s="19">
        <f>MIN(1,B64*(1+Parameters!$B$53))</f>
        <v>8.4899999999999989E-2</v>
      </c>
      <c r="E64" s="19">
        <f>MIN(1,C64*(1+Parameters!$B$53))</f>
        <v>5.28E-2</v>
      </c>
      <c r="N64" s="1"/>
      <c r="O64" s="1"/>
      <c r="P64" s="1"/>
      <c r="Q64" s="1"/>
      <c r="R64" s="1"/>
    </row>
    <row r="65" spans="1:18">
      <c r="A65" s="102">
        <v>78</v>
      </c>
      <c r="B65" s="19">
        <v>7.4079999999999993E-2</v>
      </c>
      <c r="C65" s="100">
        <v>4.6760000000000003E-2</v>
      </c>
      <c r="D65" s="19">
        <f>MIN(1,B65*(1+Parameters!$B$53))</f>
        <v>9.2599999999999988E-2</v>
      </c>
      <c r="E65" s="19">
        <f>MIN(1,C65*(1+Parameters!$B$53))</f>
        <v>5.8450000000000002E-2</v>
      </c>
      <c r="N65" s="1"/>
      <c r="O65" s="1"/>
      <c r="P65" s="1"/>
      <c r="Q65" s="1"/>
      <c r="R65" s="1"/>
    </row>
    <row r="66" spans="1:18">
      <c r="A66" s="102">
        <v>79</v>
      </c>
      <c r="B66" s="19">
        <v>8.0710000000000004E-2</v>
      </c>
      <c r="C66" s="100">
        <v>5.1819999999999998E-2</v>
      </c>
      <c r="D66" s="19">
        <f>MIN(1,B66*(1+Parameters!$B$53))</f>
        <v>0.1008875</v>
      </c>
      <c r="E66" s="19">
        <f>MIN(1,C66*(1+Parameters!$B$53))</f>
        <v>6.4774999999999999E-2</v>
      </c>
      <c r="N66" s="1"/>
      <c r="O66" s="1"/>
      <c r="P66" s="1"/>
      <c r="Q66" s="1"/>
      <c r="R66" s="1"/>
    </row>
    <row r="67" spans="1:18">
      <c r="A67" s="102">
        <v>80</v>
      </c>
      <c r="B67" s="19">
        <v>8.7980000000000003E-2</v>
      </c>
      <c r="C67" s="100">
        <v>5.7590000000000002E-2</v>
      </c>
      <c r="D67" s="19">
        <f>MIN(1,B67*(1+Parameters!$B$53))</f>
        <v>0.109975</v>
      </c>
      <c r="E67" s="19">
        <f>MIN(1,C67*(1+Parameters!$B$53))</f>
        <v>7.198750000000001E-2</v>
      </c>
      <c r="N67" s="1"/>
      <c r="O67" s="1"/>
      <c r="P67" s="1"/>
      <c r="Q67" s="1"/>
      <c r="R67" s="1"/>
    </row>
    <row r="68" spans="1:18">
      <c r="A68" s="102">
        <v>81</v>
      </c>
      <c r="B68" s="19">
        <v>9.604E-2</v>
      </c>
      <c r="C68" s="100">
        <v>6.4229999999999995E-2</v>
      </c>
      <c r="D68" s="19">
        <f>MIN(1,B68*(1+Parameters!$B$53))</f>
        <v>0.12005</v>
      </c>
      <c r="E68" s="19">
        <f>MIN(1,C68*(1+Parameters!$B$53))</f>
        <v>8.0287499999999998E-2</v>
      </c>
      <c r="N68" s="1"/>
      <c r="O68" s="1"/>
      <c r="P68" s="1"/>
      <c r="Q68" s="1"/>
      <c r="R68" s="1"/>
    </row>
    <row r="69" spans="1:18">
      <c r="A69" s="102">
        <v>82</v>
      </c>
      <c r="B69" s="19">
        <v>0.10509</v>
      </c>
      <c r="C69" s="100">
        <v>7.1889999999999996E-2</v>
      </c>
      <c r="D69" s="19">
        <f>MIN(1,B69*(1+Parameters!$B$53))</f>
        <v>0.13136249999999999</v>
      </c>
      <c r="E69" s="19">
        <f>MIN(1,C69*(1+Parameters!$B$53))</f>
        <v>8.9862499999999998E-2</v>
      </c>
      <c r="N69" s="1"/>
      <c r="O69" s="1"/>
      <c r="P69" s="1"/>
      <c r="Q69" s="1"/>
      <c r="R69" s="1"/>
    </row>
    <row r="70" spans="1:18">
      <c r="A70" s="102">
        <v>83</v>
      </c>
      <c r="B70" s="19">
        <v>0.11548</v>
      </c>
      <c r="C70" s="100">
        <v>8.0729999999999996E-2</v>
      </c>
      <c r="D70" s="19">
        <f>MIN(1,B70*(1+Parameters!$B$53))</f>
        <v>0.14435000000000001</v>
      </c>
      <c r="E70" s="19">
        <f>MIN(1,C70*(1+Parameters!$B$53))</f>
        <v>0.10091249999999999</v>
      </c>
      <c r="N70" s="1"/>
      <c r="O70" s="1"/>
      <c r="P70" s="1"/>
      <c r="Q70" s="1"/>
      <c r="R70" s="1"/>
    </row>
    <row r="71" spans="1:18">
      <c r="A71" s="102">
        <v>84</v>
      </c>
      <c r="B71" s="19">
        <v>0.12745999999999999</v>
      </c>
      <c r="C71" s="100">
        <v>9.0899999999999995E-2</v>
      </c>
      <c r="D71" s="19">
        <f>MIN(1,B71*(1+Parameters!$B$53))</f>
        <v>0.15932499999999999</v>
      </c>
      <c r="E71" s="19">
        <f>MIN(1,C71*(1+Parameters!$B$53))</f>
        <v>0.11362499999999999</v>
      </c>
      <c r="N71" s="1"/>
      <c r="O71" s="1"/>
      <c r="P71" s="1"/>
      <c r="Q71" s="1"/>
      <c r="R71" s="1"/>
    </row>
    <row r="72" spans="1:18">
      <c r="A72" s="102">
        <v>85</v>
      </c>
      <c r="B72" s="19">
        <v>0.14141999999999999</v>
      </c>
      <c r="C72" s="100">
        <v>0.10258</v>
      </c>
      <c r="D72" s="19">
        <f>MIN(1,B72*(1+Parameters!$B$53))</f>
        <v>0.17677499999999999</v>
      </c>
      <c r="E72" s="19">
        <f>MIN(1,C72*(1+Parameters!$B$53))</f>
        <v>0.12822500000000001</v>
      </c>
      <c r="N72" s="1"/>
      <c r="O72" s="1"/>
      <c r="P72" s="1"/>
      <c r="Q72" s="1"/>
      <c r="R72" s="1"/>
    </row>
    <row r="73" spans="1:18">
      <c r="A73" s="102">
        <v>86</v>
      </c>
      <c r="B73" s="19">
        <v>0.15654999999999999</v>
      </c>
      <c r="C73" s="100">
        <v>0.11545</v>
      </c>
      <c r="D73" s="19">
        <f>MIN(1,B73*(1+Parameters!$B$53))</f>
        <v>0.19568749999999999</v>
      </c>
      <c r="E73" s="19">
        <f>MIN(1,C73*(1+Parameters!$B$53))</f>
        <v>0.14431250000000001</v>
      </c>
      <c r="N73" s="1"/>
      <c r="O73" s="1"/>
      <c r="P73" s="1"/>
      <c r="Q73" s="1"/>
      <c r="R73" s="1"/>
    </row>
    <row r="74" spans="1:18">
      <c r="A74" s="102">
        <v>87</v>
      </c>
      <c r="B74" s="19">
        <v>0.1729</v>
      </c>
      <c r="C74" s="100">
        <v>0.12959000000000001</v>
      </c>
      <c r="D74" s="19">
        <f>MIN(1,B74*(1+Parameters!$B$53))</f>
        <v>0.21612500000000001</v>
      </c>
      <c r="E74" s="19">
        <f>MIN(1,C74*(1+Parameters!$B$53))</f>
        <v>0.16198750000000001</v>
      </c>
      <c r="N74" s="1"/>
      <c r="O74" s="1"/>
      <c r="P74" s="1"/>
      <c r="Q74" s="1"/>
      <c r="R74" s="1"/>
    </row>
    <row r="75" spans="1:18">
      <c r="A75" s="102">
        <v>88</v>
      </c>
      <c r="B75" s="19">
        <v>0.19053999999999999</v>
      </c>
      <c r="C75" s="100">
        <v>0.14509</v>
      </c>
      <c r="D75" s="19">
        <f>MIN(1,B75*(1+Parameters!$B$53))</f>
        <v>0.23817499999999997</v>
      </c>
      <c r="E75" s="19">
        <f>MIN(1,C75*(1+Parameters!$B$53))</f>
        <v>0.18136249999999998</v>
      </c>
      <c r="N75" s="1"/>
      <c r="O75" s="1"/>
      <c r="P75" s="1"/>
      <c r="Q75" s="1"/>
      <c r="R75" s="1"/>
    </row>
    <row r="76" spans="1:18">
      <c r="A76" s="102">
        <v>89</v>
      </c>
      <c r="B76" s="19">
        <v>0.20951</v>
      </c>
      <c r="C76" s="100">
        <v>0.16203000000000001</v>
      </c>
      <c r="D76" s="19">
        <f>MIN(1,B76*(1+Parameters!$B$53))</f>
        <v>0.2618875</v>
      </c>
      <c r="E76" s="19">
        <f>MIN(1,C76*(1+Parameters!$B$53))</f>
        <v>0.20253750000000001</v>
      </c>
      <c r="N76" s="1"/>
      <c r="O76" s="1"/>
      <c r="P76" s="1"/>
      <c r="Q76" s="1"/>
      <c r="R76" s="1"/>
    </row>
    <row r="77" spans="1:18">
      <c r="A77" s="102">
        <v>90</v>
      </c>
      <c r="B77" s="19">
        <v>0.22988</v>
      </c>
      <c r="C77" s="100">
        <v>0.18049000000000001</v>
      </c>
      <c r="D77" s="19">
        <f>MIN(1,B77*(1+Parameters!$B$53))</f>
        <v>0.28734999999999999</v>
      </c>
      <c r="E77" s="19">
        <f>MIN(1,C77*(1+Parameters!$B$53))</f>
        <v>0.22561250000000002</v>
      </c>
      <c r="N77" s="1"/>
      <c r="O77" s="1"/>
      <c r="P77" s="1"/>
      <c r="Q77" s="1"/>
      <c r="R77" s="1"/>
    </row>
    <row r="78" spans="1:18">
      <c r="A78" s="102">
        <v>91</v>
      </c>
      <c r="B78" s="19">
        <v>0.25169999999999998</v>
      </c>
      <c r="C78" s="100">
        <v>0.20057</v>
      </c>
      <c r="D78" s="19">
        <f>MIN(1,B78*(1+Parameters!$B$53))</f>
        <v>0.31462499999999999</v>
      </c>
      <c r="E78" s="19">
        <f>MIN(1,C78*(1+Parameters!$B$53))</f>
        <v>0.2507125</v>
      </c>
      <c r="N78" s="1"/>
      <c r="O78" s="1"/>
      <c r="P78" s="1"/>
      <c r="Q78" s="1"/>
      <c r="R78" s="1"/>
    </row>
    <row r="79" spans="1:18">
      <c r="A79" s="102">
        <v>92</v>
      </c>
      <c r="B79" s="19">
        <v>0.27501999999999999</v>
      </c>
      <c r="C79" s="100">
        <v>0.22236</v>
      </c>
      <c r="D79" s="19">
        <f>MIN(1,B79*(1+Parameters!$B$53))</f>
        <v>0.343775</v>
      </c>
      <c r="E79" s="19">
        <f>MIN(1,C79*(1+Parameters!$B$53))</f>
        <v>0.27795000000000003</v>
      </c>
      <c r="N79" s="1"/>
      <c r="O79" s="1"/>
      <c r="P79" s="1"/>
      <c r="Q79" s="1"/>
      <c r="R79" s="1"/>
    </row>
    <row r="80" spans="1:18">
      <c r="A80" s="102">
        <v>93</v>
      </c>
      <c r="B80" s="19">
        <v>0.29991000000000001</v>
      </c>
      <c r="C80" s="100">
        <v>0.24593000000000001</v>
      </c>
      <c r="D80" s="19">
        <f>MIN(1,B80*(1+Parameters!$B$53))</f>
        <v>0.37488750000000004</v>
      </c>
      <c r="E80" s="19">
        <f>MIN(1,C80*(1+Parameters!$B$53))</f>
        <v>0.30741250000000003</v>
      </c>
      <c r="N80" s="1"/>
      <c r="O80" s="1"/>
      <c r="P80" s="1"/>
      <c r="Q80" s="1"/>
      <c r="R80" s="1"/>
    </row>
    <row r="81" spans="1:18">
      <c r="A81" s="102">
        <v>94</v>
      </c>
      <c r="B81" s="19">
        <v>0.32640999999999998</v>
      </c>
      <c r="C81" s="100">
        <v>0.27139999999999997</v>
      </c>
      <c r="D81" s="19">
        <f>MIN(1,B81*(1+Parameters!$B$53))</f>
        <v>0.4080125</v>
      </c>
      <c r="E81" s="19">
        <f>MIN(1,C81*(1+Parameters!$B$53))</f>
        <v>0.33924999999999994</v>
      </c>
      <c r="N81" s="1"/>
      <c r="O81" s="1"/>
      <c r="P81" s="1"/>
      <c r="Q81" s="1"/>
      <c r="R81" s="1"/>
    </row>
    <row r="82" spans="1:18">
      <c r="A82" s="102">
        <v>95</v>
      </c>
      <c r="B82" s="19">
        <v>0.35455999999999999</v>
      </c>
      <c r="C82" s="100">
        <v>0.29881999999999997</v>
      </c>
      <c r="D82" s="19">
        <f>MIN(1,B82*(1+Parameters!$B$53))</f>
        <v>0.44319999999999998</v>
      </c>
      <c r="E82" s="19">
        <f>MIN(1,C82*(1+Parameters!$B$53))</f>
        <v>0.373525</v>
      </c>
      <c r="N82" s="1"/>
      <c r="O82" s="1"/>
      <c r="P82" s="1"/>
      <c r="Q82" s="1"/>
      <c r="R82" s="1"/>
    </row>
    <row r="83" spans="1:18">
      <c r="A83" s="102">
        <v>96</v>
      </c>
      <c r="B83" s="19">
        <v>0.38442999999999999</v>
      </c>
      <c r="C83" s="100">
        <v>0.32830999999999999</v>
      </c>
      <c r="D83" s="19">
        <f>MIN(1,B83*(1+Parameters!$B$53))</f>
        <v>0.48053750000000001</v>
      </c>
      <c r="E83" s="19">
        <f>MIN(1,C83*(1+Parameters!$B$53))</f>
        <v>0.41038750000000002</v>
      </c>
      <c r="N83" s="1"/>
      <c r="O83" s="1"/>
      <c r="P83" s="1"/>
      <c r="Q83" s="1"/>
      <c r="R83" s="1"/>
    </row>
    <row r="84" spans="1:18">
      <c r="A84" s="102">
        <v>97</v>
      </c>
      <c r="B84" s="19">
        <v>0.41604000000000002</v>
      </c>
      <c r="C84" s="100">
        <v>0.35993000000000003</v>
      </c>
      <c r="D84" s="19">
        <f>MIN(1,B84*(1+Parameters!$B$53))</f>
        <v>0.52005000000000001</v>
      </c>
      <c r="E84" s="19">
        <f>MIN(1,C84*(1+Parameters!$B$53))</f>
        <v>0.44991250000000005</v>
      </c>
      <c r="N84" s="1"/>
      <c r="O84" s="1"/>
      <c r="P84" s="1"/>
      <c r="Q84" s="1"/>
      <c r="R84" s="1"/>
    </row>
    <row r="85" spans="1:18">
      <c r="A85" s="102">
        <v>98</v>
      </c>
      <c r="B85" s="19">
        <v>0.44945000000000002</v>
      </c>
      <c r="C85" s="100">
        <v>0.39378000000000002</v>
      </c>
      <c r="D85" s="19">
        <f>MIN(1,B85*(1+Parameters!$B$53))</f>
        <v>0.56181250000000005</v>
      </c>
      <c r="E85" s="19">
        <f>MIN(1,C85*(1+Parameters!$B$53))</f>
        <v>0.49222500000000002</v>
      </c>
      <c r="N85" s="1"/>
      <c r="O85" s="1"/>
      <c r="P85" s="1"/>
      <c r="Q85" s="1"/>
      <c r="R85" s="1"/>
    </row>
    <row r="86" spans="1:18">
      <c r="A86" s="102">
        <v>99</v>
      </c>
      <c r="B86" s="19">
        <v>0.48468</v>
      </c>
      <c r="C86" s="100">
        <v>0.42993999999999999</v>
      </c>
      <c r="D86" s="19">
        <f>MIN(1,B86*(1+Parameters!$B$53))</f>
        <v>0.60585</v>
      </c>
      <c r="E86" s="19">
        <f>MIN(1,C86*(1+Parameters!$B$53))</f>
        <v>0.53742500000000004</v>
      </c>
      <c r="N86" s="1"/>
      <c r="O86" s="1"/>
      <c r="P86" s="1"/>
      <c r="Q86" s="1"/>
      <c r="R86" s="1"/>
    </row>
    <row r="87" spans="1:18">
      <c r="A87" s="102">
        <v>100</v>
      </c>
      <c r="B87" s="19">
        <v>0.52178000000000002</v>
      </c>
      <c r="C87" s="100">
        <v>0.46847</v>
      </c>
      <c r="D87" s="19">
        <f>MIN(1,B87*(1+Parameters!$B$53))</f>
        <v>0.65222500000000005</v>
      </c>
      <c r="E87" s="19">
        <f>MIN(1,C87*(1+Parameters!$B$53))</f>
        <v>0.58558750000000004</v>
      </c>
      <c r="N87" s="1"/>
      <c r="O87" s="1"/>
      <c r="P87" s="1"/>
      <c r="Q87" s="1"/>
      <c r="R87" s="1"/>
    </row>
    <row r="88" spans="1:18">
      <c r="A88" s="102">
        <v>101</v>
      </c>
      <c r="B88" s="19">
        <v>0.56077999999999995</v>
      </c>
      <c r="C88" s="100">
        <v>0.50946999999999998</v>
      </c>
      <c r="D88" s="19">
        <f>MIN(1,B88*(1+Parameters!$B$53))</f>
        <v>0.7009749999999999</v>
      </c>
      <c r="E88" s="19">
        <f>MIN(1,C88*(1+Parameters!$B$53))</f>
        <v>0.63683749999999995</v>
      </c>
      <c r="N88" s="1"/>
      <c r="O88" s="1"/>
      <c r="P88" s="1"/>
      <c r="Q88" s="1"/>
      <c r="R88" s="1"/>
    </row>
    <row r="89" spans="1:18">
      <c r="A89" s="102">
        <v>102</v>
      </c>
      <c r="B89" s="19">
        <v>0.60170000000000001</v>
      </c>
      <c r="C89" s="100">
        <v>0.55298999999999998</v>
      </c>
      <c r="D89" s="19">
        <f>MIN(1,B89*(1+Parameters!$B$53))</f>
        <v>0.75212500000000004</v>
      </c>
      <c r="E89" s="19">
        <f>MIN(1,C89*(1+Parameters!$B$53))</f>
        <v>0.69123749999999995</v>
      </c>
      <c r="N89" s="1"/>
      <c r="O89" s="1"/>
      <c r="P89" s="1"/>
      <c r="Q89" s="1"/>
      <c r="R89" s="1"/>
    </row>
    <row r="90" spans="1:18">
      <c r="A90" s="102">
        <v>103</v>
      </c>
      <c r="B90" s="19">
        <v>0.64456999999999998</v>
      </c>
      <c r="C90" s="100">
        <v>0.59911000000000003</v>
      </c>
      <c r="D90" s="19">
        <f>MIN(1,B90*(1+Parameters!$B$53))</f>
        <v>0.80571249999999994</v>
      </c>
      <c r="E90" s="19">
        <f>MIN(1,C90*(1+Parameters!$B$53))</f>
        <v>0.74888750000000004</v>
      </c>
      <c r="N90" s="1"/>
      <c r="O90" s="1"/>
      <c r="P90" s="1"/>
      <c r="Q90" s="1"/>
      <c r="R90" s="1"/>
    </row>
    <row r="91" spans="1:18">
      <c r="A91" s="102">
        <v>104</v>
      </c>
      <c r="B91" s="19">
        <v>0.68940000000000001</v>
      </c>
      <c r="C91" s="100">
        <v>0.64788999999999997</v>
      </c>
      <c r="D91" s="19">
        <f>MIN(1,B91*(1+Parameters!$B$53))</f>
        <v>0.86175000000000002</v>
      </c>
      <c r="E91" s="19">
        <f>MIN(1,C91*(1+Parameters!$B$53))</f>
        <v>0.80986249999999993</v>
      </c>
      <c r="N91" s="1"/>
      <c r="O91" s="1"/>
      <c r="P91" s="1"/>
      <c r="Q91" s="1"/>
      <c r="R91" s="1"/>
    </row>
    <row r="92" spans="1:18">
      <c r="A92" s="102">
        <v>105</v>
      </c>
      <c r="B92" s="19">
        <v>0.73623000000000005</v>
      </c>
      <c r="C92" s="100">
        <v>0.69938999999999996</v>
      </c>
      <c r="D92" s="19">
        <f>MIN(1,B92*(1+Parameters!$B$53))</f>
        <v>0.92028750000000004</v>
      </c>
      <c r="E92" s="19">
        <f>MIN(1,C92*(1+Parameters!$B$53))</f>
        <v>0.8742375</v>
      </c>
      <c r="N92" s="1"/>
      <c r="O92" s="1"/>
      <c r="P92" s="1"/>
      <c r="Q92" s="1"/>
      <c r="R92" s="1"/>
    </row>
    <row r="93" spans="1:18">
      <c r="A93" s="102">
        <v>106</v>
      </c>
      <c r="B93" s="19">
        <v>0.78505000000000003</v>
      </c>
      <c r="C93" s="100">
        <v>0.75366999999999995</v>
      </c>
      <c r="D93" s="19">
        <f>MIN(1,B93*(1+Parameters!$B$53))</f>
        <v>0.98131250000000003</v>
      </c>
      <c r="E93" s="19">
        <f>MIN(1,C93*(1+Parameters!$B$53))</f>
        <v>0.94208749999999997</v>
      </c>
      <c r="N93" s="1"/>
      <c r="O93" s="1"/>
      <c r="P93" s="1"/>
      <c r="Q93" s="1"/>
      <c r="R93" s="1"/>
    </row>
    <row r="94" spans="1:18">
      <c r="A94" s="102">
        <v>107</v>
      </c>
      <c r="B94" s="19">
        <v>0.83587999999999996</v>
      </c>
      <c r="C94" s="100">
        <v>0.81076999999999999</v>
      </c>
      <c r="D94" s="19">
        <f>MIN(1,B94*(1+Parameters!$B$53))</f>
        <v>1</v>
      </c>
      <c r="E94" s="19">
        <f>MIN(1,C94*(1+Parameters!$B$53))</f>
        <v>1</v>
      </c>
      <c r="N94" s="1"/>
      <c r="O94" s="1"/>
      <c r="P94" s="1"/>
      <c r="Q94" s="1"/>
      <c r="R94" s="1"/>
    </row>
    <row r="95" spans="1:18">
      <c r="A95" s="102">
        <v>108</v>
      </c>
      <c r="B95" s="19">
        <v>0.88873000000000002</v>
      </c>
      <c r="C95" s="100">
        <v>0.87073999999999996</v>
      </c>
      <c r="D95" s="19">
        <f>MIN(1,B95*(1+Parameters!$B$53))</f>
        <v>1</v>
      </c>
      <c r="E95" s="19">
        <f>MIN(1,C95*(1+Parameters!$B$53))</f>
        <v>1</v>
      </c>
      <c r="N95" s="1"/>
      <c r="O95" s="1"/>
      <c r="P95" s="1"/>
      <c r="Q95" s="1"/>
      <c r="R95" s="1"/>
    </row>
    <row r="96" spans="1:18">
      <c r="A96" s="102">
        <v>109</v>
      </c>
      <c r="B96" s="19">
        <v>0.94357999999999997</v>
      </c>
      <c r="C96" s="100">
        <v>0.93362000000000001</v>
      </c>
      <c r="D96" s="19">
        <f>MIN(1,B96*(1+Parameters!$B$53))</f>
        <v>1</v>
      </c>
      <c r="E96" s="19">
        <f>MIN(1,C96*(1+Parameters!$B$53))</f>
        <v>1</v>
      </c>
      <c r="N96" s="1"/>
      <c r="O96" s="1"/>
      <c r="P96" s="1"/>
      <c r="Q96" s="1"/>
      <c r="R96" s="1"/>
    </row>
    <row r="97" spans="1:18">
      <c r="A97" s="102">
        <v>110</v>
      </c>
      <c r="B97" s="19">
        <v>1</v>
      </c>
      <c r="C97" s="100">
        <v>1</v>
      </c>
      <c r="D97" s="19">
        <f>MIN(1,B97*(1+Parameters!$B$53))</f>
        <v>1</v>
      </c>
      <c r="E97" s="19">
        <f>MIN(1,C97*(1+Parameters!$B$53))</f>
        <v>1</v>
      </c>
      <c r="N97" s="1"/>
      <c r="O97" s="1"/>
      <c r="P97" s="1"/>
      <c r="Q97" s="1"/>
      <c r="R97" s="1"/>
    </row>
  </sheetData>
  <mergeCells count="2">
    <mergeCell ref="B3:C3"/>
    <mergeCell ref="D3:E3"/>
  </mergeCells>
  <printOptions gridLines="1"/>
  <pageMargins left="0.7" right="0.7" top="0.75" bottom="0.75" header="0.5" footer="0.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X41"/>
  <sheetViews>
    <sheetView workbookViewId="0"/>
  </sheetViews>
  <sheetFormatPr defaultRowHeight="14.5"/>
  <cols>
    <col min="1" max="1" width="20.36328125" bestFit="1" customWidth="1"/>
    <col min="2" max="2" width="20.36328125" style="1" customWidth="1"/>
    <col min="3" max="3" width="9.90625" style="1" bestFit="1" customWidth="1"/>
    <col min="4" max="4" width="11.1796875" style="35" customWidth="1"/>
    <col min="5" max="5" width="9.6328125" style="1" bestFit="1" customWidth="1"/>
    <col min="6" max="6" width="8.453125" style="35" bestFit="1" customWidth="1"/>
    <col min="7" max="7" width="9.6328125" style="1" bestFit="1" customWidth="1"/>
    <col min="8" max="8" width="8.453125" style="35" bestFit="1" customWidth="1"/>
    <col min="9" max="9" width="9.6328125" style="1" bestFit="1" customWidth="1"/>
    <col min="10" max="10" width="10.1796875" style="35" bestFit="1" customWidth="1"/>
    <col min="11" max="11" width="9.90625" style="1" bestFit="1" customWidth="1"/>
    <col min="12" max="12" width="10.1796875" style="35" bestFit="1" customWidth="1"/>
    <col min="13" max="13" width="9.6328125" style="1" bestFit="1" customWidth="1"/>
    <col min="14" max="14" width="10.1796875" style="35" bestFit="1" customWidth="1"/>
    <col min="15" max="15" width="9.6328125" style="1" bestFit="1" customWidth="1"/>
    <col min="16" max="16" width="8.453125" style="35" bestFit="1" customWidth="1"/>
    <col min="17" max="17" width="9.6328125" style="38" bestFit="1" customWidth="1"/>
    <col min="18" max="18" width="8.81640625" style="35" bestFit="1" customWidth="1"/>
    <col min="19" max="19" width="9.6328125" style="1" bestFit="1" customWidth="1"/>
    <col min="20" max="20" width="10.1796875" style="35" bestFit="1" customWidth="1"/>
    <col min="21" max="21" width="9.6328125" style="1" bestFit="1" customWidth="1"/>
    <col min="22" max="22" width="10.1796875" style="35" bestFit="1" customWidth="1"/>
    <col min="23" max="23" width="9.6328125" style="1" bestFit="1" customWidth="1"/>
    <col min="24" max="24" width="8.81640625" style="35" bestFit="1" customWidth="1"/>
    <col min="25" max="25" width="9.6328125" style="1" bestFit="1" customWidth="1"/>
    <col min="26" max="26" width="8.453125" style="35" bestFit="1" customWidth="1"/>
    <col min="27" max="27" width="12.08984375" customWidth="1"/>
    <col min="28" max="28" width="13.54296875" style="1" bestFit="1" customWidth="1"/>
    <col min="30" max="30" width="20.36328125" style="1" bestFit="1" customWidth="1"/>
    <col min="31" max="31" width="20.36328125" style="1" customWidth="1"/>
    <col min="32" max="32" width="9.6328125" style="1" bestFit="1" customWidth="1"/>
    <col min="33" max="33" width="11.1796875" style="35" customWidth="1"/>
    <col min="34" max="34" width="9.6328125" style="1" bestFit="1" customWidth="1"/>
    <col min="35" max="35" width="8.453125" style="35" bestFit="1" customWidth="1"/>
    <col min="36" max="36" width="9.6328125" style="1" bestFit="1" customWidth="1"/>
    <col min="37" max="37" width="8.453125" style="35" bestFit="1" customWidth="1"/>
    <col min="38" max="38" width="9.6328125" style="1" bestFit="1" customWidth="1"/>
    <col min="39" max="39" width="10.1796875" style="35" bestFit="1" customWidth="1"/>
    <col min="40" max="40" width="9.6328125" style="1" bestFit="1" customWidth="1"/>
    <col min="41" max="41" width="10.1796875" style="35" bestFit="1" customWidth="1"/>
    <col min="42" max="42" width="9.6328125" style="1" bestFit="1" customWidth="1"/>
    <col min="43" max="43" width="10.1796875" style="35" bestFit="1" customWidth="1"/>
    <col min="44" max="44" width="9.6328125" style="1" bestFit="1" customWidth="1"/>
    <col min="45" max="45" width="8.453125" style="35" bestFit="1" customWidth="1"/>
    <col min="46" max="46" width="9.6328125" style="38" bestFit="1" customWidth="1"/>
    <col min="47" max="47" width="8.81640625" style="35" bestFit="1" customWidth="1"/>
    <col min="48" max="48" width="9.6328125" style="1" bestFit="1" customWidth="1"/>
    <col min="49" max="49" width="10.1796875" style="35" bestFit="1" customWidth="1"/>
    <col min="50" max="50" width="9.6328125" style="1" bestFit="1" customWidth="1"/>
    <col min="51" max="51" width="10.1796875" style="35" bestFit="1" customWidth="1"/>
    <col min="52" max="52" width="9.6328125" style="1" bestFit="1" customWidth="1"/>
    <col min="53" max="53" width="8.81640625" style="35" bestFit="1" customWidth="1"/>
    <col min="54" max="54" width="9.6328125" style="1" bestFit="1" customWidth="1"/>
    <col min="55" max="55" width="8.453125" style="35" bestFit="1" customWidth="1"/>
    <col min="56" max="56" width="12.08984375" style="1" customWidth="1"/>
    <col min="57" max="57" width="13.54296875" style="1" bestFit="1" customWidth="1"/>
    <col min="58" max="58" width="8.90625" style="38"/>
    <col min="59" max="59" width="14.08984375" style="38" bestFit="1" customWidth="1"/>
    <col min="60" max="61" width="12.08984375" style="38" bestFit="1" customWidth="1"/>
    <col min="62" max="64" width="14.08984375" style="38" bestFit="1" customWidth="1"/>
    <col min="65" max="65" width="12.08984375" style="38" bestFit="1" customWidth="1"/>
    <col min="66" max="66" width="13.08984375" style="38" bestFit="1" customWidth="1"/>
    <col min="67" max="68" width="14.08984375" style="38" bestFit="1" customWidth="1"/>
    <col min="69" max="70" width="12.08984375" style="38" bestFit="1" customWidth="1"/>
    <col min="71" max="71" width="9.54296875" style="38" bestFit="1" customWidth="1"/>
    <col min="72" max="72" width="11" style="38" bestFit="1" customWidth="1"/>
    <col min="73" max="76" width="8.90625" style="38"/>
  </cols>
  <sheetData>
    <row r="1" spans="1:76" s="1" customFormat="1">
      <c r="A1" s="3" t="s">
        <v>39</v>
      </c>
      <c r="D1" s="52"/>
      <c r="F1" s="35"/>
      <c r="H1" s="35"/>
      <c r="J1" s="35"/>
      <c r="L1" s="35"/>
      <c r="N1" s="35"/>
      <c r="P1" s="35"/>
      <c r="Q1" s="38"/>
      <c r="R1" s="35"/>
      <c r="T1" s="35"/>
      <c r="V1" s="35"/>
      <c r="X1" s="35"/>
      <c r="Z1" s="35"/>
      <c r="AD1" s="3"/>
      <c r="AG1" s="35"/>
      <c r="AI1" s="35"/>
      <c r="AK1" s="35"/>
      <c r="AM1" s="35"/>
      <c r="AO1" s="35"/>
      <c r="AQ1" s="35"/>
      <c r="AS1" s="35"/>
      <c r="AT1" s="38"/>
      <c r="AU1" s="35"/>
      <c r="AW1" s="35"/>
      <c r="AY1" s="35"/>
      <c r="BA1" s="35"/>
      <c r="BC1" s="35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</row>
    <row r="2" spans="1:76" s="1" customFormat="1" ht="15" thickBot="1">
      <c r="D2" s="35"/>
      <c r="F2" s="35"/>
      <c r="H2" s="35"/>
      <c r="J2" s="35"/>
      <c r="L2" s="35"/>
      <c r="N2" s="35"/>
      <c r="P2" s="35"/>
      <c r="Q2" s="38"/>
      <c r="R2" s="35"/>
      <c r="T2" s="35"/>
      <c r="V2" s="35"/>
      <c r="X2" s="35"/>
      <c r="Z2" s="35"/>
      <c r="AG2" s="35"/>
      <c r="AI2" s="35"/>
      <c r="AK2" s="35"/>
      <c r="AM2" s="35"/>
      <c r="AO2" s="35"/>
      <c r="AQ2" s="35"/>
      <c r="AS2" s="35"/>
      <c r="AT2" s="38"/>
      <c r="AU2" s="35"/>
      <c r="AW2" s="35"/>
      <c r="AY2" s="35"/>
      <c r="BA2" s="35"/>
      <c r="BC2" s="35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</row>
    <row r="3" spans="1:76">
      <c r="A3" s="55" t="s">
        <v>32</v>
      </c>
      <c r="B3" s="56"/>
      <c r="C3" s="56" t="s">
        <v>6</v>
      </c>
      <c r="D3" s="79"/>
      <c r="E3" s="56"/>
      <c r="F3" s="79"/>
      <c r="G3" s="56"/>
      <c r="H3" s="79"/>
      <c r="I3" s="56"/>
      <c r="J3" s="79"/>
      <c r="K3" s="56"/>
      <c r="L3" s="79"/>
      <c r="M3" s="56"/>
      <c r="N3" s="79"/>
      <c r="O3" s="80" t="s">
        <v>7</v>
      </c>
      <c r="P3" s="81"/>
      <c r="Q3" s="82"/>
      <c r="R3" s="79"/>
      <c r="S3" s="56"/>
      <c r="T3" s="79"/>
      <c r="U3" s="56"/>
      <c r="V3" s="79"/>
      <c r="W3" s="56"/>
      <c r="X3" s="79"/>
      <c r="Y3" s="56"/>
      <c r="Z3" s="79"/>
      <c r="AA3" s="56"/>
      <c r="AB3" s="83"/>
      <c r="AD3" s="55" t="s">
        <v>40</v>
      </c>
      <c r="AE3" s="56"/>
      <c r="AF3" s="56" t="s">
        <v>6</v>
      </c>
      <c r="AG3" s="79"/>
      <c r="AH3" s="56"/>
      <c r="AI3" s="79"/>
      <c r="AJ3" s="56"/>
      <c r="AK3" s="79"/>
      <c r="AL3" s="56"/>
      <c r="AM3" s="79"/>
      <c r="AN3" s="56"/>
      <c r="AO3" s="79"/>
      <c r="AP3" s="56"/>
      <c r="AQ3" s="79"/>
      <c r="AR3" s="80" t="s">
        <v>7</v>
      </c>
      <c r="AS3" s="81"/>
      <c r="AT3" s="82"/>
      <c r="AU3" s="79"/>
      <c r="AV3" s="56"/>
      <c r="AW3" s="79"/>
      <c r="AX3" s="56"/>
      <c r="AY3" s="79"/>
      <c r="AZ3" s="56"/>
      <c r="BA3" s="79"/>
      <c r="BB3" s="56"/>
      <c r="BC3" s="79"/>
      <c r="BD3" s="56"/>
      <c r="BE3" s="83"/>
    </row>
    <row r="4" spans="1:76" s="18" customFormat="1" ht="44" thickBot="1">
      <c r="A4" s="84"/>
      <c r="B4" s="70"/>
      <c r="C4" s="85" t="s">
        <v>67</v>
      </c>
      <c r="D4" s="36" t="s">
        <v>68</v>
      </c>
      <c r="E4" s="85" t="s">
        <v>67</v>
      </c>
      <c r="F4" s="36" t="s">
        <v>68</v>
      </c>
      <c r="G4" s="85" t="s">
        <v>67</v>
      </c>
      <c r="H4" s="36" t="s">
        <v>68</v>
      </c>
      <c r="I4" s="85" t="s">
        <v>67</v>
      </c>
      <c r="J4" s="36" t="s">
        <v>68</v>
      </c>
      <c r="K4" s="85" t="s">
        <v>67</v>
      </c>
      <c r="L4" s="36" t="s">
        <v>68</v>
      </c>
      <c r="M4" s="85" t="s">
        <v>67</v>
      </c>
      <c r="N4" s="36" t="s">
        <v>68</v>
      </c>
      <c r="O4" s="85" t="s">
        <v>67</v>
      </c>
      <c r="P4" s="36" t="s">
        <v>68</v>
      </c>
      <c r="Q4" s="86" t="s">
        <v>67</v>
      </c>
      <c r="R4" s="36" t="s">
        <v>68</v>
      </c>
      <c r="S4" s="85" t="s">
        <v>67</v>
      </c>
      <c r="T4" s="36" t="s">
        <v>68</v>
      </c>
      <c r="U4" s="85" t="s">
        <v>67</v>
      </c>
      <c r="V4" s="36" t="s">
        <v>68</v>
      </c>
      <c r="W4" s="85" t="s">
        <v>67</v>
      </c>
      <c r="X4" s="36" t="s">
        <v>68</v>
      </c>
      <c r="Y4" s="85" t="s">
        <v>67</v>
      </c>
      <c r="Z4" s="36" t="s">
        <v>68</v>
      </c>
      <c r="AA4" s="70"/>
      <c r="AB4" s="71"/>
      <c r="AD4" s="84"/>
      <c r="AE4" s="70"/>
      <c r="AF4" s="85" t="s">
        <v>67</v>
      </c>
      <c r="AG4" s="36" t="s">
        <v>68</v>
      </c>
      <c r="AH4" s="85" t="s">
        <v>67</v>
      </c>
      <c r="AI4" s="36" t="s">
        <v>68</v>
      </c>
      <c r="AJ4" s="85" t="s">
        <v>67</v>
      </c>
      <c r="AK4" s="36" t="s">
        <v>68</v>
      </c>
      <c r="AL4" s="85" t="s">
        <v>67</v>
      </c>
      <c r="AM4" s="36" t="s">
        <v>68</v>
      </c>
      <c r="AN4" s="85" t="s">
        <v>67</v>
      </c>
      <c r="AO4" s="36" t="s">
        <v>68</v>
      </c>
      <c r="AP4" s="85" t="s">
        <v>67</v>
      </c>
      <c r="AQ4" s="36" t="s">
        <v>68</v>
      </c>
      <c r="AR4" s="85" t="s">
        <v>67</v>
      </c>
      <c r="AS4" s="36" t="s">
        <v>68</v>
      </c>
      <c r="AT4" s="86" t="s">
        <v>67</v>
      </c>
      <c r="AU4" s="36" t="s">
        <v>68</v>
      </c>
      <c r="AV4" s="85" t="s">
        <v>67</v>
      </c>
      <c r="AW4" s="36" t="s">
        <v>68</v>
      </c>
      <c r="AX4" s="85" t="s">
        <v>67</v>
      </c>
      <c r="AY4" s="36" t="s">
        <v>68</v>
      </c>
      <c r="AZ4" s="85" t="s">
        <v>67</v>
      </c>
      <c r="BA4" s="36" t="s">
        <v>68</v>
      </c>
      <c r="BB4" s="85" t="s">
        <v>67</v>
      </c>
      <c r="BC4" s="36" t="s">
        <v>68</v>
      </c>
      <c r="BD4" s="70"/>
      <c r="BE4" s="71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</row>
    <row r="5" spans="1:76">
      <c r="A5" s="57" t="s">
        <v>41</v>
      </c>
      <c r="B5" s="30"/>
      <c r="C5" s="30"/>
      <c r="D5" s="35">
        <f>Parameters!C5</f>
        <v>30</v>
      </c>
      <c r="E5" s="30"/>
      <c r="F5" s="35">
        <f>Parameters!C6</f>
        <v>60</v>
      </c>
      <c r="G5" s="30"/>
      <c r="H5" s="35">
        <f>Parameters!C7</f>
        <v>150</v>
      </c>
      <c r="I5" s="30"/>
      <c r="J5" s="35">
        <f>Parameters!C8</f>
        <v>200</v>
      </c>
      <c r="K5" s="30"/>
      <c r="L5" s="35">
        <f>Parameters!C9</f>
        <v>100</v>
      </c>
      <c r="M5" s="30"/>
      <c r="N5" s="35">
        <f>Parameters!C10</f>
        <v>80</v>
      </c>
      <c r="O5" s="30"/>
      <c r="P5" s="35">
        <f>Parameters!C11</f>
        <v>20</v>
      </c>
      <c r="Q5" s="87"/>
      <c r="R5" s="35">
        <f>Parameters!C12</f>
        <v>55</v>
      </c>
      <c r="S5" s="30"/>
      <c r="T5" s="35">
        <f>Parameters!C13</f>
        <v>250</v>
      </c>
      <c r="U5" s="30"/>
      <c r="V5" s="35">
        <f>Parameters!C14</f>
        <v>95</v>
      </c>
      <c r="W5" s="30"/>
      <c r="X5" s="35">
        <f>Parameters!C15</f>
        <v>60</v>
      </c>
      <c r="Y5" s="30"/>
      <c r="Z5" s="35">
        <f>Parameters!C16</f>
        <v>25</v>
      </c>
      <c r="AA5" s="30"/>
      <c r="AB5" s="20" t="s">
        <v>42</v>
      </c>
      <c r="AD5" s="57" t="s">
        <v>41</v>
      </c>
      <c r="AE5" s="30"/>
      <c r="AF5" s="30"/>
      <c r="AG5" s="35">
        <f>D5</f>
        <v>30</v>
      </c>
      <c r="AH5" s="30"/>
      <c r="AI5" s="35">
        <f>F5</f>
        <v>60</v>
      </c>
      <c r="AJ5" s="30"/>
      <c r="AK5" s="35">
        <f>H5</f>
        <v>150</v>
      </c>
      <c r="AL5" s="30"/>
      <c r="AM5" s="35">
        <f>J5</f>
        <v>200</v>
      </c>
      <c r="AN5" s="30"/>
      <c r="AO5" s="35">
        <f>L5</f>
        <v>100</v>
      </c>
      <c r="AP5" s="30"/>
      <c r="AQ5" s="35">
        <f>N5</f>
        <v>80</v>
      </c>
      <c r="AR5" s="30"/>
      <c r="AS5" s="35">
        <f>P5</f>
        <v>20</v>
      </c>
      <c r="AT5" s="87"/>
      <c r="AU5" s="35">
        <f>R5</f>
        <v>55</v>
      </c>
      <c r="AV5" s="30"/>
      <c r="AW5" s="35">
        <f>T5</f>
        <v>250</v>
      </c>
      <c r="AX5" s="30"/>
      <c r="AY5" s="35">
        <f>V5</f>
        <v>95</v>
      </c>
      <c r="AZ5" s="30"/>
      <c r="BA5" s="35">
        <f>X5</f>
        <v>60</v>
      </c>
      <c r="BB5" s="30"/>
      <c r="BC5" s="35">
        <f>Z5</f>
        <v>25</v>
      </c>
      <c r="BD5" s="30"/>
      <c r="BE5" s="20" t="s">
        <v>42</v>
      </c>
    </row>
    <row r="6" spans="1:76" ht="15" thickBot="1">
      <c r="A6" s="57" t="s">
        <v>43</v>
      </c>
      <c r="B6" s="30"/>
      <c r="C6" s="30"/>
      <c r="D6" s="35">
        <f>Parameters!D5</f>
        <v>100000</v>
      </c>
      <c r="E6" s="30"/>
      <c r="F6" s="35">
        <f>Parameters!D6</f>
        <v>10000</v>
      </c>
      <c r="G6" s="30"/>
      <c r="H6" s="35">
        <f>Parameters!D7</f>
        <v>5000</v>
      </c>
      <c r="I6" s="30"/>
      <c r="J6" s="35">
        <f>Parameters!D8</f>
        <v>200000</v>
      </c>
      <c r="K6" s="30"/>
      <c r="L6" s="35">
        <f>Parameters!D9</f>
        <v>400000</v>
      </c>
      <c r="M6" s="30"/>
      <c r="N6" s="35">
        <f>Parameters!D10</f>
        <v>300000</v>
      </c>
      <c r="O6" s="30"/>
      <c r="P6" s="35">
        <f>Parameters!D11</f>
        <v>50000</v>
      </c>
      <c r="Q6" s="87"/>
      <c r="R6" s="35">
        <f>Parameters!D12</f>
        <v>75000</v>
      </c>
      <c r="S6" s="30"/>
      <c r="T6" s="35">
        <f>Parameters!D13</f>
        <v>100000</v>
      </c>
      <c r="U6" s="30"/>
      <c r="V6" s="35">
        <f>Parameters!D14</f>
        <v>300000</v>
      </c>
      <c r="W6" s="30"/>
      <c r="X6" s="35">
        <f>Parameters!D15</f>
        <v>20000</v>
      </c>
      <c r="Y6" s="30"/>
      <c r="Z6" s="35">
        <f>Parameters!D16</f>
        <v>10000</v>
      </c>
      <c r="AA6" s="30"/>
      <c r="AB6" s="21">
        <f>NPV(Parameters!$B$41,'TA projections'!AB8:AB37)</f>
        <v>24658792.909293428</v>
      </c>
      <c r="AD6" s="57" t="s">
        <v>43</v>
      </c>
      <c r="AE6" s="30"/>
      <c r="AF6" s="30"/>
      <c r="AG6" s="35">
        <f>D6</f>
        <v>100000</v>
      </c>
      <c r="AH6" s="30"/>
      <c r="AI6" s="35">
        <f>F6</f>
        <v>10000</v>
      </c>
      <c r="AJ6" s="30"/>
      <c r="AK6" s="35">
        <f>H6</f>
        <v>5000</v>
      </c>
      <c r="AL6" s="30"/>
      <c r="AM6" s="35">
        <f>J6</f>
        <v>200000</v>
      </c>
      <c r="AN6" s="30"/>
      <c r="AO6" s="35">
        <f>L6</f>
        <v>400000</v>
      </c>
      <c r="AP6" s="30"/>
      <c r="AQ6" s="35">
        <f>N6</f>
        <v>300000</v>
      </c>
      <c r="AR6" s="30"/>
      <c r="AS6" s="35">
        <f>P6</f>
        <v>50000</v>
      </c>
      <c r="AT6" s="87"/>
      <c r="AU6" s="35">
        <f>R6</f>
        <v>75000</v>
      </c>
      <c r="AV6" s="30"/>
      <c r="AW6" s="35">
        <f>T6</f>
        <v>100000</v>
      </c>
      <c r="AX6" s="30"/>
      <c r="AY6" s="35">
        <f>V6</f>
        <v>300000</v>
      </c>
      <c r="AZ6" s="30"/>
      <c r="BA6" s="35">
        <f>X6</f>
        <v>20000</v>
      </c>
      <c r="BB6" s="30"/>
      <c r="BC6" s="35">
        <f>Z6</f>
        <v>10000</v>
      </c>
      <c r="BD6" s="30"/>
      <c r="BE6" s="21">
        <f>NPV(Parameters!$B$41,'TA projections'!BE8:BE37)</f>
        <v>28696575.73864444</v>
      </c>
    </row>
    <row r="7" spans="1:76" s="42" customFormat="1">
      <c r="A7" s="88" t="s">
        <v>44</v>
      </c>
      <c r="B7" s="42" t="s">
        <v>9</v>
      </c>
      <c r="C7" s="118">
        <f>Parameters!A5</f>
        <v>30</v>
      </c>
      <c r="D7" s="117"/>
      <c r="E7" s="116">
        <f>Parameters!A6</f>
        <v>35</v>
      </c>
      <c r="F7" s="117"/>
      <c r="G7" s="116">
        <f>Parameters!A7</f>
        <v>40</v>
      </c>
      <c r="H7" s="117"/>
      <c r="I7" s="116">
        <f>Parameters!A8</f>
        <v>45</v>
      </c>
      <c r="J7" s="117"/>
      <c r="K7" s="116">
        <f>Parameters!A9</f>
        <v>50</v>
      </c>
      <c r="L7" s="117"/>
      <c r="M7" s="116">
        <f>Parameters!A10</f>
        <v>55</v>
      </c>
      <c r="N7" s="117"/>
      <c r="O7" s="116">
        <f>Parameters!A11</f>
        <v>30</v>
      </c>
      <c r="P7" s="117"/>
      <c r="Q7" s="116">
        <f>Parameters!A12</f>
        <v>35</v>
      </c>
      <c r="R7" s="117"/>
      <c r="S7" s="116">
        <f>Parameters!A13</f>
        <v>40</v>
      </c>
      <c r="T7" s="117"/>
      <c r="U7" s="116">
        <f>Parameters!A14</f>
        <v>45</v>
      </c>
      <c r="V7" s="117"/>
      <c r="W7" s="116">
        <f>Parameters!A15</f>
        <v>50</v>
      </c>
      <c r="X7" s="117"/>
      <c r="Y7" s="116">
        <f>Parameters!A16</f>
        <v>55</v>
      </c>
      <c r="Z7" s="117"/>
      <c r="AA7" s="44" t="s">
        <v>45</v>
      </c>
      <c r="AB7" s="89" t="s">
        <v>65</v>
      </c>
      <c r="AD7" s="88" t="s">
        <v>44</v>
      </c>
      <c r="AE7" s="42" t="s">
        <v>9</v>
      </c>
      <c r="AF7" s="118">
        <f>C7</f>
        <v>30</v>
      </c>
      <c r="AG7" s="117"/>
      <c r="AH7" s="118">
        <f>E7</f>
        <v>35</v>
      </c>
      <c r="AI7" s="117"/>
      <c r="AJ7" s="118">
        <f>G7</f>
        <v>40</v>
      </c>
      <c r="AK7" s="117"/>
      <c r="AL7" s="118">
        <f>I7</f>
        <v>45</v>
      </c>
      <c r="AM7" s="117"/>
      <c r="AN7" s="118">
        <f>K7</f>
        <v>50</v>
      </c>
      <c r="AO7" s="117"/>
      <c r="AP7" s="118">
        <f>M7</f>
        <v>55</v>
      </c>
      <c r="AQ7" s="117"/>
      <c r="AR7" s="118">
        <f>O7</f>
        <v>30</v>
      </c>
      <c r="AS7" s="117"/>
      <c r="AT7" s="118">
        <f>Q7</f>
        <v>35</v>
      </c>
      <c r="AU7" s="117"/>
      <c r="AV7" s="118">
        <f>S7</f>
        <v>40</v>
      </c>
      <c r="AW7" s="117"/>
      <c r="AX7" s="118">
        <f>U7</f>
        <v>45</v>
      </c>
      <c r="AY7" s="117"/>
      <c r="AZ7" s="118">
        <f>W7</f>
        <v>50</v>
      </c>
      <c r="BA7" s="117"/>
      <c r="BB7" s="118">
        <f>Y7</f>
        <v>55</v>
      </c>
      <c r="BC7" s="117"/>
      <c r="BD7" s="44" t="s">
        <v>45</v>
      </c>
      <c r="BE7" s="89" t="s">
        <v>65</v>
      </c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</row>
    <row r="8" spans="1:76">
      <c r="A8" s="74">
        <f>Parameters!B18</f>
        <v>2022</v>
      </c>
      <c r="B8" s="30">
        <f>A8-Parameters!$B$18+1</f>
        <v>1</v>
      </c>
      <c r="C8" s="90">
        <v>1</v>
      </c>
      <c r="D8" s="37">
        <f>IF($B8&gt;Parameters!$B$19,0,C8*VLOOKUP(C$7+$B8-1,'Mortality tables'!$A$5:$B$125,2,FALSE)*D$5*D$6)</f>
        <v>2658</v>
      </c>
      <c r="E8" s="90">
        <v>1</v>
      </c>
      <c r="F8" s="37">
        <f>IF($B8&gt;Parameters!$B$19,0,E8*VLOOKUP(E$7+$B8-1,'Mortality tables'!$A$5:$B$125,2,FALSE)*F$5*F$6)</f>
        <v>613.19999999999993</v>
      </c>
      <c r="G8" s="90">
        <v>1</v>
      </c>
      <c r="H8" s="37">
        <f>IF($B8&gt;Parameters!$B$19,0,G8*VLOOKUP(G$7+$B8-1,'Mortality tables'!$A$5:$B$125,2,FALSE)*H$5*H$6)</f>
        <v>904.5</v>
      </c>
      <c r="I8" s="90">
        <v>1</v>
      </c>
      <c r="J8" s="37">
        <f>IF($B8&gt;Parameters!$B$19,0,I8*VLOOKUP(I$7+$B8-1,'Mortality tables'!$A$5:$B$125,2,FALSE)*J$5*J$6)</f>
        <v>64000</v>
      </c>
      <c r="K8" s="90">
        <v>1</v>
      </c>
      <c r="L8" s="37">
        <f>IF($B8&gt;Parameters!$B$19,0,K8*VLOOKUP(K$7+$B8-1,'Mortality tables'!$A$5:$B$125,2,FALSE)*L$5*L$6)</f>
        <v>98160</v>
      </c>
      <c r="M8" s="90">
        <v>1</v>
      </c>
      <c r="N8" s="37">
        <f>IF($B8&gt;Parameters!$B$19,0,M8*VLOOKUP(M$7+$B8-1,'Mortality tables'!$A$5:$B$125,2,FALSE)*N$5*N$6)</f>
        <v>97728</v>
      </c>
      <c r="O8" s="91">
        <v>1</v>
      </c>
      <c r="P8" s="41">
        <f>IF($B8&gt;Parameters!$B$19,0,O8*VLOOKUP(O$7+$B8-1,'Mortality tables'!$A$5:$C$125,3,FALSE)*P$5*P$6)</f>
        <v>616</v>
      </c>
      <c r="Q8" s="91">
        <v>1</v>
      </c>
      <c r="R8" s="37">
        <f>IF($B8&gt;Parameters!$B$19,0,Q8*VLOOKUP(Q$7+$B8-1,'Mortality tables'!$A$5:$C$125,3,FALSE)*R$5*R$6)</f>
        <v>3964.125</v>
      </c>
      <c r="S8" s="91">
        <v>1</v>
      </c>
      <c r="T8" s="37">
        <f>IF($B8&gt;Parameters!$B$19,0,S8*VLOOKUP(S$7+'TA projections'!$A8-Parameters!$B$18,'Mortality tables'!$A$5:$C$125,3,FALSE)*T$5*T$6)</f>
        <v>36250</v>
      </c>
      <c r="U8" s="91">
        <v>1</v>
      </c>
      <c r="V8" s="37">
        <f>IF($B8&gt;Parameters!$B$19,0,U8*VLOOKUP(U$7+'TA projections'!$A8-Parameters!$B$18,'Mortality tables'!$A$5:$C$125,3,FALSE)*V$5*V$6)</f>
        <v>59451.000000000007</v>
      </c>
      <c r="W8" s="91">
        <v>1</v>
      </c>
      <c r="X8" s="37">
        <f>IF($B8&gt;Parameters!$B$19,0,W8*VLOOKUP(W$7+'TA projections'!$A8-Parameters!$B$18,'Mortality tables'!$A$5:$C$125,3,FALSE)*X$5*X$6)</f>
        <v>3592.8000000000006</v>
      </c>
      <c r="Y8" s="91">
        <v>1</v>
      </c>
      <c r="Z8" s="37">
        <f>IF($B8&gt;Parameters!$B$19,0,Y8*VLOOKUP(Y$7+'TA projections'!$A8-Parameters!$B$18,'Mortality tables'!$A$5:$C$125,3,FALSE)*Z$5*Z$6)</f>
        <v>1047</v>
      </c>
      <c r="AA8" s="92">
        <f>IF(B8&gt;Parameters!$B$19,0,SUM(Parameters!$C$5:$C$16)*Parameters!$B$46)</f>
        <v>11250</v>
      </c>
      <c r="AB8" s="63">
        <f>SUM(D8,F8,H8,J8,L8,N8,P8,R8,T8,V8,X8,Z8,AA8)</f>
        <v>380234.625</v>
      </c>
      <c r="AD8" s="74">
        <f>Parameters!B18</f>
        <v>2022</v>
      </c>
      <c r="AE8" s="30">
        <f>AD8-Parameters!$B$18+1</f>
        <v>1</v>
      </c>
      <c r="AF8" s="90">
        <v>1</v>
      </c>
      <c r="AG8" s="37">
        <f>IF($B8&gt;Parameters!$B$19,0,AF8*VLOOKUP(AF$7+$B8-1,'Mortality tables'!$A$5:$E$125,4,FALSE)*AG$5*AG$6)</f>
        <v>3189.5999999999995</v>
      </c>
      <c r="AH8" s="90">
        <v>1</v>
      </c>
      <c r="AI8" s="37">
        <f>IF($B8&gt;Parameters!$B$19,0,AH8*VLOOKUP(AH$7+$B8-1,'Mortality tables'!$A$5:$E$125,4,FALSE)*AI$5*AI$6)</f>
        <v>735.83999999999992</v>
      </c>
      <c r="AJ8" s="90">
        <v>1</v>
      </c>
      <c r="AK8" s="37">
        <f>IF($B8&gt;Parameters!$B$19,0,AJ8*VLOOKUP(AJ$7+$B8-1,'Mortality tables'!$A$5:$E$125,4,FALSE)*AK$5*AK$6)</f>
        <v>1085.3999999999999</v>
      </c>
      <c r="AL8" s="90">
        <v>1</v>
      </c>
      <c r="AM8" s="37">
        <f>IF($B8&gt;Parameters!$B$19,0,AL8*VLOOKUP(AL$7+$B8-1,'Mortality tables'!$A$5:$E$125,4,FALSE)*AM$5*AM$6)</f>
        <v>76800</v>
      </c>
      <c r="AN8" s="90">
        <v>1</v>
      </c>
      <c r="AO8" s="37">
        <f>IF($B8&gt;Parameters!$B$19,0,AN8*VLOOKUP(AN$7+$B8-1,'Mortality tables'!$A$5:$E$125,4,FALSE)*AO$5*AO$6)</f>
        <v>117792.00000000001</v>
      </c>
      <c r="AP8" s="90">
        <v>1</v>
      </c>
      <c r="AQ8" s="37">
        <f>IF($B8&gt;Parameters!$B$19,0,AP8*VLOOKUP(AP$7+$B8-1,'Mortality tables'!$A$5:$E$125,4,FALSE)*AQ$5*AQ$6)</f>
        <v>117273.59999999999</v>
      </c>
      <c r="AR8" s="91">
        <v>1</v>
      </c>
      <c r="AS8" s="41">
        <f>IF($B8&gt;Parameters!$B$19,0,AR8*VLOOKUP(AR$7+$B8-1,'Mortality tables'!$A$5:$E$125,5,FALSE)*AS$5*AS$6)</f>
        <v>739.19999999999993</v>
      </c>
      <c r="AT8" s="91">
        <v>1</v>
      </c>
      <c r="AU8" s="54">
        <f>IF($B8&gt;Parameters!$B$19,0,AT8*VLOOKUP(AT$7+$B8-1,'Mortality tables'!$A$5:$E$125,5,FALSE)*AU$5*AU$6)</f>
        <v>4756.9500000000007</v>
      </c>
      <c r="AV8" s="91">
        <v>1</v>
      </c>
      <c r="AW8" s="54">
        <f>IF($B8&gt;Parameters!$B$19,0,AV8*VLOOKUP(AV$7+$B8-1,'Mortality tables'!$A$5:$E$125,5,FALSE)*AW$5*AW$6)</f>
        <v>43499.999999999993</v>
      </c>
      <c r="AX8" s="91">
        <v>1</v>
      </c>
      <c r="AY8" s="54">
        <f>IF($B8&gt;Parameters!$B$19,0,AX8*VLOOKUP(AX$7+$B8-1,'Mortality tables'!$A$5:$E$125,5,FALSE)*AY$5*AY$6)</f>
        <v>71341.200000000012</v>
      </c>
      <c r="AZ8" s="91">
        <v>1</v>
      </c>
      <c r="BA8" s="54">
        <f>IF($B8&gt;Parameters!$B$19,0,AZ8*VLOOKUP(AZ$7+$B8-1,'Mortality tables'!$A$5:$E$125,5,FALSE)*BA$5*BA$6)</f>
        <v>4311.3600000000006</v>
      </c>
      <c r="BB8" s="91">
        <v>1</v>
      </c>
      <c r="BC8" s="54">
        <f>IF($B8&gt;Parameters!$B$19,0,BB8*VLOOKUP(BB$7+$B8-1,'Mortality tables'!$A$5:$E$125,5,FALSE)*BC$5*BC$6)</f>
        <v>1256.4000000000001</v>
      </c>
      <c r="BD8" s="92">
        <f>AA8*(1+Parameters!$B$54)</f>
        <v>12375.000000000002</v>
      </c>
      <c r="BE8" s="63">
        <f>SUM(AG8,AI8,AK8,AM8,AO8,AQ8,AS8,AU8,AW8,AY8,BA8,BC8,BD8)</f>
        <v>455156.55000000005</v>
      </c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5"/>
    </row>
    <row r="9" spans="1:76">
      <c r="A9" s="64">
        <f t="shared" ref="A9:A37" si="0">A8+1</f>
        <v>2023</v>
      </c>
      <c r="B9" s="30">
        <f>A9-Parameters!$B$18+1</f>
        <v>2</v>
      </c>
      <c r="C9" s="93">
        <f>C8*(1-VLOOKUP(C$7+$B8-1,'Mortality tables'!$A$5:$E$125,2,FALSE))</f>
        <v>0.99911399999999995</v>
      </c>
      <c r="D9" s="37">
        <f>IF($B9&gt;Parameters!$B$19,0,C9*VLOOKUP(C$7+$B9-1,'Mortality tables'!$A$5:$B$125,2,FALSE)*D$5*D$6)</f>
        <v>2709.5971679999998</v>
      </c>
      <c r="E9" s="93">
        <f>E8*(1-VLOOKUP(E$7+$B8-1,'Mortality tables'!$A$5:$E$125,2,FALSE))</f>
        <v>0.99897800000000003</v>
      </c>
      <c r="F9" s="37">
        <f>IF($B9&gt;Parameters!$B$19,0,E9*VLOOKUP(E$7+$B9-1,'Mortality tables'!$A$5:$B$125,2,FALSE)*F$5*F$6)</f>
        <v>631.1543003999999</v>
      </c>
      <c r="G9" s="93">
        <f>G8*(1-VLOOKUP(G$7+$B8-1,'Mortality tables'!$A$5:$E$125,2,FALSE))</f>
        <v>0.99879399999999996</v>
      </c>
      <c r="H9" s="37">
        <f>IF($B9&gt;Parameters!$B$19,0,G9*VLOOKUP(G$7+$B9-1,'Mortality tables'!$A$5:$B$125,2,FALSE)*H$5*H$6)</f>
        <v>941.6130435</v>
      </c>
      <c r="I9" s="93">
        <f>I8*(1-VLOOKUP(I$7+$B8-1,'Mortality tables'!$A$5:$E$125,2,FALSE))</f>
        <v>0.99839999999999995</v>
      </c>
      <c r="J9" s="37">
        <f>IF($B9&gt;Parameters!$B$19,0,I9*VLOOKUP(I$7+$B9-1,'Mortality tables'!$A$5:$B$125,2,FALSE)*J$5*J$6)</f>
        <v>68929.536000000007</v>
      </c>
      <c r="K9" s="93">
        <f>K8*(1-VLOOKUP(K$7+$B8-1,'Mortality tables'!$A$5:$E$125,2,FALSE))</f>
        <v>0.99754600000000004</v>
      </c>
      <c r="L9" s="37">
        <f>IF($B9&gt;Parameters!$B$19,0,K9*VLOOKUP(K$7+$B9-1,'Mortality tables'!$A$5:$B$125,2,FALSE)*L$5*L$6)</f>
        <v>107894.57536</v>
      </c>
      <c r="M9" s="93">
        <f>M8*(1-VLOOKUP(M$7+$B8-1,'Mortality tables'!$A$5:$E$125,2,FALSE))</f>
        <v>0.99592800000000004</v>
      </c>
      <c r="N9" s="37">
        <f>IF($B9&gt;Parameters!$B$19,0,M9*VLOOKUP(M$7+$B9-1,'Mortality tables'!$A$5:$B$125,2,FALSE)*N$5*N$6)</f>
        <v>108109.97625600002</v>
      </c>
      <c r="O9" s="93">
        <f>O8*(1-VLOOKUP(O$7+$B8-1,'Mortality tables'!$A$5:$E$125,3,FALSE))</f>
        <v>0.99938400000000005</v>
      </c>
      <c r="P9" s="41">
        <f>IF($B9&gt;Parameters!$B$19,0,O9*VLOOKUP(O$7+$B9-1,'Mortality tables'!$A$5:$C$125,3,FALSE)*P$5*P$6)</f>
        <v>672.58543200000008</v>
      </c>
      <c r="Q9" s="93">
        <f>Q8*(1-VLOOKUP(Q$7+$B8-1,'Mortality tables'!$A$5:$E$125,3,FALSE))</f>
        <v>0.99903900000000001</v>
      </c>
      <c r="R9" s="37">
        <f>IF($B9&gt;Parameters!$B$19,0,Q9*VLOOKUP(Q$7+$B9-1,'Mortality tables'!$A$5:$C$125,3,FALSE)*R$5*R$6)</f>
        <v>4327.0876687500004</v>
      </c>
      <c r="S9" s="93">
        <f>S8*(1-VLOOKUP(S$7+$A9-Parameters!$B$18-1,'Mortality tables'!$A$5:$E$125,3,FALSE))</f>
        <v>0.99855000000000005</v>
      </c>
      <c r="T9" s="37">
        <f>IF($B9&gt;Parameters!$B$19,0,S9*VLOOKUP(S$7+'TA projections'!$A9-Parameters!$B$18,'Mortality tables'!$A$5:$C$125,3,FALSE)*T$5*T$6)</f>
        <v>38893.522499999999</v>
      </c>
      <c r="U9" s="93">
        <f>U8*(1-VLOOKUP(U$7+$A9-Parameters!$B$18-1,'Mortality tables'!$A$5:$E$125,3,FALSE))</f>
        <v>0.99791399999999997</v>
      </c>
      <c r="V9" s="37">
        <f>IF($B9&gt;Parameters!$B$19,0,U9*VLOOKUP(U$7+'TA projections'!$A9-Parameters!$B$18,'Mortality tables'!$A$5:$C$125,3,FALSE)*V$5*V$6)</f>
        <v>63820.591955999997</v>
      </c>
      <c r="W9" s="93">
        <f>W8*(1-VLOOKUP(W$7+$A9-Parameters!$B$18-1,'Mortality tables'!$A$5:$E$125,3,FALSE))</f>
        <v>0.99700599999999995</v>
      </c>
      <c r="X9" s="37">
        <f>IF($B9&gt;Parameters!$B$19,0,W9*VLOOKUP(W$7+'TA projections'!$A9-Parameters!$B$18,'Mortality tables'!$A$5:$C$125,3,FALSE)*X$5*X$6)</f>
        <v>3841.6635191999999</v>
      </c>
      <c r="Y9" s="93">
        <f>Y8*(1-VLOOKUP(Y$7+$A9-Parameters!$B$18-1,'Mortality tables'!$A$5:$E$125,3,FALSE))</f>
        <v>0.99581200000000003</v>
      </c>
      <c r="Z9" s="37">
        <f>IF($B9&gt;Parameters!$B$19,0,Y9*VLOOKUP(Y$7+'TA projections'!$A9-Parameters!$B$18,'Mortality tables'!$A$5:$C$125,3,FALSE)*Z$5*Z$6)</f>
        <v>1109.334568</v>
      </c>
      <c r="AA9" s="92">
        <f>IF(B9&gt;Parameters!$B$19,0,SUM(Parameters!$C$5:$C$16)*Parameters!$B$46)</f>
        <v>11250</v>
      </c>
      <c r="AB9" s="63">
        <f t="shared" ref="AB9:AB37" si="1">SUM(D9,F9,H9,J9,L9,N9,P9,R9,T9,V9,X9,Z9,AA9)</f>
        <v>413131.23777185008</v>
      </c>
      <c r="AD9" s="64">
        <f t="shared" ref="AD9:AD37" si="2">AD8+1</f>
        <v>2023</v>
      </c>
      <c r="AE9" s="30">
        <f>AD9-Parameters!$B$18+1</f>
        <v>2</v>
      </c>
      <c r="AF9" s="93">
        <f>AF8*(1-VLOOKUP(AF$7+$B8-1,'Mortality tables'!$A$5:$E$125,4,FALSE))</f>
        <v>0.99893679999999996</v>
      </c>
      <c r="AG9" s="37">
        <f>IF($B9&gt;Parameters!$B$19,0,AF9*VLOOKUP(AF$7+$B9-1,'Mortality tables'!$A$5:$E$125,4,FALSE)*AG$5*AG$6)</f>
        <v>3250.9399219199995</v>
      </c>
      <c r="AH9" s="93">
        <f>AH8*(1-VLOOKUP(AH$7+$B8-1,'Mortality tables'!$A$5:$E$125,4,FALSE))</f>
        <v>0.99877360000000004</v>
      </c>
      <c r="AI9" s="37">
        <f>IF($B9&gt;Parameters!$B$19,0,AH9*VLOOKUP(AH$7+$B9-1,'Mortality tables'!$A$5:$E$125,4,FALSE)*AI$5*AI$6)</f>
        <v>757.23019257600004</v>
      </c>
      <c r="AJ9" s="93">
        <f>AJ8*(1-VLOOKUP(AJ$7+$B8-1,'Mortality tables'!$A$5:$E$125,4,FALSE))</f>
        <v>0.99855280000000002</v>
      </c>
      <c r="AK9" s="37">
        <f>IF($B9&gt;Parameters!$B$19,0,AJ9*VLOOKUP(AJ$7+$B9-1,'Mortality tables'!$A$5:$E$125,4,FALSE)*AK$5*AK$6)</f>
        <v>1129.6627826400002</v>
      </c>
      <c r="AL9" s="93">
        <f>AL8*(1-VLOOKUP(AL$7+$B8-1,'Mortality tables'!$A$5:$E$125,4,FALSE))</f>
        <v>0.99807999999999997</v>
      </c>
      <c r="AM9" s="37">
        <f>IF($B9&gt;Parameters!$B$19,0,AL9*VLOOKUP(AL$7+$B9-1,'Mortality tables'!$A$5:$E$125,4,FALSE)*AM$5*AM$6)</f>
        <v>82688.931840000005</v>
      </c>
      <c r="AN9" s="93">
        <f>AN8*(1-VLOOKUP(AN$7+$B8-1,'Mortality tables'!$A$5:$E$125,4,FALSE))</f>
        <v>0.99705520000000003</v>
      </c>
      <c r="AO9" s="37">
        <f>IF($B9&gt;Parameters!$B$19,0,AN9*VLOOKUP(AN$7+$B9-1,'Mortality tables'!$A$5:$E$125,4,FALSE)*AO$5*AO$6)</f>
        <v>129409.78851839999</v>
      </c>
      <c r="AP9" s="93">
        <f>AP8*(1-VLOOKUP(AP$7+$B8-1,'Mortality tables'!$A$5:$E$125,4,FALSE))</f>
        <v>0.99511360000000004</v>
      </c>
      <c r="AQ9" s="37">
        <f>IF($B9&gt;Parameters!$B$19,0,AP9*VLOOKUP(AP$7+$B9-1,'Mortality tables'!$A$5:$E$125,4,FALSE)*AQ$5*AQ$6)</f>
        <v>129625.88580864</v>
      </c>
      <c r="AR9" s="93">
        <f>AR8*(1-VLOOKUP(AR$7+$B8-1,'Mortality tables'!$A$5:$E$125,5,FALSE))</f>
        <v>0.99926079999999995</v>
      </c>
      <c r="AS9" s="41">
        <f>IF($B9&gt;Parameters!$B$19,0,AR9*VLOOKUP(AR$7+$B9-1,'Mortality tables'!$A$5:$E$125,5,FALSE)*AS$5*AS$6)</f>
        <v>807.00302208000005</v>
      </c>
      <c r="AT9" s="93">
        <f>AT8*(1-VLOOKUP(AT$7+$B8-1,'Mortality tables'!$A$5:$E$125,5,FALSE))</f>
        <v>0.99884680000000003</v>
      </c>
      <c r="AU9" s="54">
        <f>IF($B9&gt;Parameters!$B$19,0,AT9*VLOOKUP(AT$7+$B9-1,'Mortality tables'!$A$5:$E$125,5,FALSE)*AU$5*AU$6)</f>
        <v>5191.5062429999998</v>
      </c>
      <c r="AV9" s="93">
        <f>AV8*(1-VLOOKUP(AV$7+$B8-1,'Mortality tables'!$A$5:$E$125,5,FALSE))</f>
        <v>0.99826000000000004</v>
      </c>
      <c r="AW9" s="54">
        <f>IF($B9&gt;Parameters!$B$19,0,AV9*VLOOKUP(AV$7+$B9-1,'Mortality tables'!$A$5:$E$125,5,FALSE)*AW$5*AW$6)</f>
        <v>46658.672400000003</v>
      </c>
      <c r="AX9" s="93">
        <f>AX8*(1-VLOOKUP(AX$7+$B8-1,'Mortality tables'!$A$5:$E$125,5,FALSE))</f>
        <v>0.99749679999999996</v>
      </c>
      <c r="AY9" s="54">
        <f>IF($B9&gt;Parameters!$B$19,0,AX9*VLOOKUP(AX$7+$B9-1,'Mortality tables'!$A$5:$E$125,5,FALSE)*AY$5*AY$6)</f>
        <v>76552.692416639984</v>
      </c>
      <c r="AZ9" s="93">
        <f>AZ8*(1-VLOOKUP(AZ$7+$B8-1,'Mortality tables'!$A$5:$E$125,5,FALSE))</f>
        <v>0.99640720000000005</v>
      </c>
      <c r="BA9" s="54">
        <f>IF($B9&gt;Parameters!$B$19,0,AZ9*VLOOKUP(AZ$7+$B9-1,'Mortality tables'!$A$5:$E$125,5,FALSE)*BA$5*BA$6)</f>
        <v>4607.2274676480001</v>
      </c>
      <c r="BB9" s="93">
        <f>BB8*(1-VLOOKUP(BB$7+$B8-1,'Mortality tables'!$A$5:$E$125,5,FALSE))</f>
        <v>0.99497440000000004</v>
      </c>
      <c r="BC9" s="54">
        <f>IF($B9&gt;Parameters!$B$19,0,BB9*VLOOKUP(BB$7+$B9-1,'Mortality tables'!$A$5:$E$125,5,FALSE)*BC$5*BC$6)</f>
        <v>1330.0817779199999</v>
      </c>
      <c r="BD9" s="92">
        <f>AA9*(1+Parameters!$B$54)</f>
        <v>12375.000000000002</v>
      </c>
      <c r="BE9" s="63">
        <f t="shared" ref="BE9:BE37" si="3">SUM(AG9,AI9,AK9,AM9,AO9,AQ9,AS9,AU9,AW9,AY9,BA9,BC9,BD9)</f>
        <v>494384.62239146396</v>
      </c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5"/>
    </row>
    <row r="10" spans="1:76">
      <c r="A10" s="57">
        <f t="shared" si="0"/>
        <v>2024</v>
      </c>
      <c r="B10" s="30">
        <f>A10-Parameters!$B$18+1</f>
        <v>3</v>
      </c>
      <c r="C10" s="93">
        <f>C9*(1-VLOOKUP(C$7+$B9-1,'Mortality tables'!$A$5:$E$125,2,FALSE))</f>
        <v>0.99821080094399994</v>
      </c>
      <c r="D10" s="37">
        <f>IF($B10&gt;Parameters!$B$19,0,C10*VLOOKUP(C$7+$B10-1,'Mortality tables'!$A$5:$B$125,2,FALSE)*D$5*D$6)</f>
        <v>2790.997399439424</v>
      </c>
      <c r="E10" s="93">
        <f>E9*(1-VLOOKUP(E$7+$B9-1,'Mortality tables'!$A$5:$E$125,2,FALSE))</f>
        <v>0.99792607616600004</v>
      </c>
      <c r="F10" s="37">
        <f>IF($B10&gt;Parameters!$B$19,0,E10*VLOOKUP(E$7+$B10-1,'Mortality tables'!$A$5:$B$125,2,FALSE)*F$5*F$6)</f>
        <v>650.24863122976558</v>
      </c>
      <c r="G10" s="93">
        <f>G9*(1-VLOOKUP(G$7+$B9-1,'Mortality tables'!$A$5:$E$125,2,FALSE))</f>
        <v>0.99753851594200005</v>
      </c>
      <c r="H10" s="37">
        <f>IF($B10&gt;Parameters!$B$19,0,G10*VLOOKUP(G$7+$B10-1,'Mortality tables'!$A$5:$B$125,2,FALSE)*H$5*H$6)</f>
        <v>988.31128466953658</v>
      </c>
      <c r="I10" s="93">
        <f>I9*(1-VLOOKUP(I$7+$B9-1,'Mortality tables'!$A$5:$E$125,2,FALSE))</f>
        <v>0.99667676159999996</v>
      </c>
      <c r="J10" s="37">
        <f>IF($B10&gt;Parameters!$B$19,0,I10*VLOOKUP(I$7+$B10-1,'Mortality tables'!$A$5:$B$125,2,FALSE)*J$5*J$6)</f>
        <v>74671.022979072004</v>
      </c>
      <c r="K10" s="93">
        <f>K9*(1-VLOOKUP(K$7+$B9-1,'Mortality tables'!$A$5:$E$125,2,FALSE))</f>
        <v>0.99484863561600001</v>
      </c>
      <c r="L10" s="37">
        <f>IF($B10&gt;Parameters!$B$19,0,K10*VLOOKUP(K$7+$B10-1,'Mortality tables'!$A$5:$B$125,2,FALSE)*L$5*L$6)</f>
        <v>118904.30892882434</v>
      </c>
      <c r="M10" s="93">
        <f>M9*(1-VLOOKUP(M$7+$B9-1,'Mortality tables'!$A$5:$E$125,2,FALSE))</f>
        <v>0.99142341765599995</v>
      </c>
      <c r="N10" s="37">
        <f>IF($B10&gt;Parameters!$B$19,0,M10*VLOOKUP(M$7+$B10-1,'Mortality tables'!$A$5:$B$125,2,FALSE)*N$5*N$6)</f>
        <v>119518.0758452661</v>
      </c>
      <c r="O10" s="93">
        <f>O9*(1-VLOOKUP(O$7+$A10-Parameters!$B$18-1,'Mortality tables'!$A$5:$E$125,3,FALSE))</f>
        <v>0.99871141456800006</v>
      </c>
      <c r="P10" s="41">
        <f>IF($B10&gt;Parameters!$B$19,0,O10*VLOOKUP(O$7+$B10-1,'Mortality tables'!$A$5:$C$125,3,FALSE)*P$5*P$6)</f>
        <v>735.05160112204794</v>
      </c>
      <c r="Q10" s="93">
        <f>Q9*(1-VLOOKUP(Q$7+$A10-Parameters!$B$18-1,'Mortality tables'!$A$5:$E$125,3,FALSE))</f>
        <v>0.99799000905000002</v>
      </c>
      <c r="R10" s="37">
        <f>IF($B10&gt;Parameters!$B$19,0,Q10*VLOOKUP(Q$7+$B10-1,'Mortality tables'!$A$5:$C$125,3,FALSE)*R$5*R$6)</f>
        <v>4721.8649790689433</v>
      </c>
      <c r="S10" s="93">
        <f>S9*(1-VLOOKUP(S$7+$A10-Parameters!$B$18-1,'Mortality tables'!$A$5:$E$125,3,FALSE))</f>
        <v>0.99699425910000006</v>
      </c>
      <c r="T10" s="37">
        <f>IF($B10&gt;Parameters!$B$19,0,S10*VLOOKUP(S$7+'TA projections'!$A10-Parameters!$B$18,'Mortality tables'!$A$5:$C$125,3,FALSE)*T$5*T$6)</f>
        <v>41749.134599812503</v>
      </c>
      <c r="U10" s="93">
        <f>U9*(1-VLOOKUP(U$7+$A10-Parameters!$B$18-1,'Mortality tables'!$A$5:$E$125,3,FALSE))</f>
        <v>0.99567468098399992</v>
      </c>
      <c r="V10" s="37">
        <f>IF($B10&gt;Parameters!$B$19,0,U10*VLOOKUP(U$7+'TA projections'!$A10-Parameters!$B$18,'Mortality tables'!$A$5:$C$125,3,FALSE)*V$5*V$6)</f>
        <v>68501.422377018214</v>
      </c>
      <c r="W10" s="93">
        <f>W9*(1-VLOOKUP(W$7+$A10-Parameters!$B$18-1,'Mortality tables'!$A$5:$E$125,3,FALSE))</f>
        <v>0.99380461373399998</v>
      </c>
      <c r="X10" s="37">
        <f>IF($B10&gt;Parameters!$B$19,0,W10*VLOOKUP(W$7+'TA projections'!$A10-Parameters!$B$18,'Mortality tables'!$A$5:$C$125,3,FALSE)*X$5*X$6)</f>
        <v>4101.2328799574716</v>
      </c>
      <c r="Y10" s="93">
        <f>Y9*(1-VLOOKUP(Y$7+$A10-Parameters!$B$18-1,'Mortality tables'!$A$5:$E$125,3,FALSE))</f>
        <v>0.99137466172800004</v>
      </c>
      <c r="Z10" s="37">
        <f>IF($B10&gt;Parameters!$B$19,0,Y10*VLOOKUP(Y$7+'TA projections'!$A10-Parameters!$B$18,'Mortality tables'!$A$5:$C$125,3,FALSE)*Z$5*Z$6)</f>
        <v>1172.5483811587922</v>
      </c>
      <c r="AA10" s="92">
        <f>IF(B10&gt;Parameters!$B$19,0,SUM(Parameters!$C$5:$C$16)*Parameters!$B$46)</f>
        <v>11250</v>
      </c>
      <c r="AB10" s="63">
        <f t="shared" si="1"/>
        <v>449754.21988663916</v>
      </c>
      <c r="AD10" s="57">
        <f t="shared" si="2"/>
        <v>2024</v>
      </c>
      <c r="AE10" s="30">
        <f>AD10-Parameters!$B$18+1</f>
        <v>3</v>
      </c>
      <c r="AF10" s="93">
        <f>AF9*(1-VLOOKUP(AF$7+$B9-1,'Mortality tables'!$A$5:$E$125,4,FALSE))</f>
        <v>0.99785315335935998</v>
      </c>
      <c r="AG10" s="37">
        <f>IF($B10&gt;Parameters!$B$19,0,AF10*VLOOKUP(AF$7+$B10-1,'Mortality tables'!$A$5:$E$125,4,FALSE)*AG$5*AG$6)</f>
        <v>3347.9969001513241</v>
      </c>
      <c r="AH10" s="93">
        <f>AH9*(1-VLOOKUP(AH$7+$B9-1,'Mortality tables'!$A$5:$E$125,4,FALSE))</f>
        <v>0.99751154967903999</v>
      </c>
      <c r="AI10" s="37">
        <f>IF($B10&gt;Parameters!$B$19,0,AH10*VLOOKUP(AH$7+$B10-1,'Mortality tables'!$A$5:$E$125,4,FALSE)*AI$5*AI$6)</f>
        <v>779.97423092503482</v>
      </c>
      <c r="AJ10" s="93">
        <f>AJ9*(1-VLOOKUP(AJ$7+$B9-1,'Mortality tables'!$A$5:$E$125,4,FALSE))</f>
        <v>0.99704658295648008</v>
      </c>
      <c r="AK10" s="37">
        <f>IF($B10&gt;Parameters!$B$19,0,AJ10*VLOOKUP(AJ$7+$B10-1,'Mortality tables'!$A$5:$E$125,4,FALSE)*AK$5*AK$6)</f>
        <v>1185.388682476959</v>
      </c>
      <c r="AL10" s="93">
        <f>AL9*(1-VLOOKUP(AL$7+$B9-1,'Mortality tables'!$A$5:$E$125,4,FALSE))</f>
        <v>0.9960127767039999</v>
      </c>
      <c r="AM10" s="37">
        <f>IF($B10&gt;Parameters!$B$19,0,AL10*VLOOKUP(AL$7+$B10-1,'Mortality tables'!$A$5:$E$125,4,FALSE)*AM$5*AM$6)</f>
        <v>89545.532676796414</v>
      </c>
      <c r="AN10" s="93">
        <f>AN9*(1-VLOOKUP(AN$7+$B9-1,'Mortality tables'!$A$5:$E$125,4,FALSE))</f>
        <v>0.99381995528704004</v>
      </c>
      <c r="AO10" s="37">
        <f>IF($B10&gt;Parameters!$B$19,0,AN10*VLOOKUP(AN$7+$B10-1,'Mortality tables'!$A$5:$E$125,4,FALSE)*AO$5*AO$6)</f>
        <v>142537.63326708844</v>
      </c>
      <c r="AP10" s="93">
        <f>AP9*(1-VLOOKUP(AP$7+$B9-1,'Mortality tables'!$A$5:$E$125,4,FALSE))</f>
        <v>0.98971252142464006</v>
      </c>
      <c r="AQ10" s="37">
        <f>IF($B10&gt;Parameters!$B$19,0,AP10*VLOOKUP(AP$7+$B10-1,'Mortality tables'!$A$5:$E$125,4,FALSE)*AQ$5*AQ$6)</f>
        <v>143174.18865933982</v>
      </c>
      <c r="AR10" s="93">
        <f>AR9*(1-VLOOKUP(AR$7+$B9-1,'Mortality tables'!$A$5:$E$125,5,FALSE))</f>
        <v>0.99845379697791992</v>
      </c>
      <c r="AS10" s="41">
        <f>IF($B10&gt;Parameters!$B$19,0,AR10*VLOOKUP(AR$7+$B10-1,'Mortality tables'!$A$5:$E$125,5,FALSE)*AS$5*AS$6)</f>
        <v>881.83439349089895</v>
      </c>
      <c r="AT10" s="93">
        <f>AT9*(1-VLOOKUP(AT$7+$B9-1,'Mortality tables'!$A$5:$E$125,5,FALSE))</f>
        <v>0.99758825303200005</v>
      </c>
      <c r="AU10" s="54">
        <f>IF($B10&gt;Parameters!$B$19,0,AT10*VLOOKUP(AT$7+$B10-1,'Mortality tables'!$A$5:$E$125,5,FALSE)*AU$5*AU$6)</f>
        <v>5663.956944827135</v>
      </c>
      <c r="AV10" s="93">
        <f>AV9*(1-VLOOKUP(AV$7+$B9-1,'Mortality tables'!$A$5:$E$125,5,FALSE))</f>
        <v>0.99639365310399997</v>
      </c>
      <c r="AW10" s="54">
        <f>IF($B10&gt;Parameters!$B$19,0,AV10*VLOOKUP(AV$7+$B10-1,'Mortality tables'!$A$5:$E$125,5,FALSE)*AW$5*AW$6)</f>
        <v>50068.781068475997</v>
      </c>
      <c r="AX10" s="93">
        <f>AX9*(1-VLOOKUP(AX$7+$B9-1,'Mortality tables'!$A$5:$E$125,5,FALSE))</f>
        <v>0.99481074061695995</v>
      </c>
      <c r="AY10" s="54">
        <f>IF($B10&gt;Parameters!$B$19,0,AX10*VLOOKUP(AX$7+$B10-1,'Mortality tables'!$A$5:$E$125,5,FALSE)*AY$5*AY$6)</f>
        <v>82130.38097244747</v>
      </c>
      <c r="AZ10" s="93">
        <f>AZ9*(1-VLOOKUP(AZ$7+$B9-1,'Mortality tables'!$A$5:$E$125,5,FALSE))</f>
        <v>0.99256784377696006</v>
      </c>
      <c r="BA10" s="54">
        <f>IF($B10&gt;Parameters!$B$19,0,AZ10*VLOOKUP(AZ$7+$B10-1,'Mortality tables'!$A$5:$E$125,5,FALSE)*BA$5*BA$6)</f>
        <v>4915.3547732385105</v>
      </c>
      <c r="BB10" s="93">
        <f>BB9*(1-VLOOKUP(BB$7+$B9-1,'Mortality tables'!$A$5:$E$125,5,FALSE))</f>
        <v>0.98965407288832008</v>
      </c>
      <c r="BC10" s="54">
        <f>IF($B10&gt;Parameters!$B$19,0,BB10*VLOOKUP(BB$7+$B10-1,'Mortality tables'!$A$5:$E$125,5,FALSE)*BC$5*BC$6)</f>
        <v>1404.6160256503927</v>
      </c>
      <c r="BD10" s="92">
        <f>AA10*(1+Parameters!$B$54)</f>
        <v>12375.000000000002</v>
      </c>
      <c r="BE10" s="63">
        <f t="shared" si="3"/>
        <v>538010.63859490841</v>
      </c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5"/>
    </row>
    <row r="11" spans="1:76">
      <c r="A11" s="57">
        <f t="shared" si="0"/>
        <v>2025</v>
      </c>
      <c r="B11" s="30">
        <f>A11-Parameters!$B$18+1</f>
        <v>4</v>
      </c>
      <c r="C11" s="93">
        <f>C10*(1-VLOOKUP(C$7+$B10-1,'Mortality tables'!$A$5:$E$125,2,FALSE))</f>
        <v>0.99728046847752005</v>
      </c>
      <c r="D11" s="37">
        <f>IF($B11&gt;Parameters!$B$19,0,C11*VLOOKUP(C$7+$B11-1,'Mortality tables'!$A$5:$B$125,2,FALSE)*D$5*D$6)</f>
        <v>2875.1595906206908</v>
      </c>
      <c r="E11" s="93">
        <f>E10*(1-VLOOKUP(E$7+$B10-1,'Mortality tables'!$A$5:$E$125,2,FALSE))</f>
        <v>0.99684232844728371</v>
      </c>
      <c r="F11" s="37">
        <f>IF($B11&gt;Parameters!$B$19,0,E11*VLOOKUP(E$7+$B11-1,'Mortality tables'!$A$5:$B$125,2,FALSE)*F$5*F$6)</f>
        <v>669.27993931950618</v>
      </c>
      <c r="G11" s="93">
        <f>G10*(1-VLOOKUP(G$7+$B10-1,'Mortality tables'!$A$5:$E$125,2,FALSE))</f>
        <v>0.9962207675624406</v>
      </c>
      <c r="H11" s="37">
        <f>IF($B11&gt;Parameters!$B$19,0,G11*VLOOKUP(G$7+$B11-1,'Mortality tables'!$A$5:$B$125,2,FALSE)*H$5*H$6)</f>
        <v>1045.2846403648909</v>
      </c>
      <c r="I11" s="93">
        <f>I10*(1-VLOOKUP(I$7+$B10-1,'Mortality tables'!$A$5:$E$125,2,FALSE))</f>
        <v>0.99480998602552317</v>
      </c>
      <c r="J11" s="37">
        <f>IF($B11&gt;Parameters!$B$19,0,I11*VLOOKUP(I$7+$B11-1,'Mortality tables'!$A$5:$B$125,2,FALSE)*J$5*J$6)</f>
        <v>81216.28725912371</v>
      </c>
      <c r="K11" s="93">
        <f>K10*(1-VLOOKUP(K$7+$B10-1,'Mortality tables'!$A$5:$E$125,2,FALSE))</f>
        <v>0.9918760278927794</v>
      </c>
      <c r="L11" s="37">
        <f>IF($B11&gt;Parameters!$B$19,0,K11*VLOOKUP(K$7+$B11-1,'Mortality tables'!$A$5:$B$125,2,FALSE)*L$5*L$6)</f>
        <v>131245.03601077257</v>
      </c>
      <c r="M11" s="93">
        <f>M10*(1-VLOOKUP(M$7+$B10-1,'Mortality tables'!$A$5:$E$125,2,FALSE))</f>
        <v>0.98644349782911389</v>
      </c>
      <c r="N11" s="37">
        <f>IF($B11&gt;Parameters!$B$19,0,M11*VLOOKUP(M$7+$B11-1,'Mortality tables'!$A$5:$B$125,2,FALSE)*N$5*N$6)</f>
        <v>132009.81465348334</v>
      </c>
      <c r="O11" s="93">
        <f>O10*(1-VLOOKUP(O$7+$A11-Parameters!$B$18-1,'Mortality tables'!$A$5:$E$125,3,FALSE))</f>
        <v>0.99797636296687808</v>
      </c>
      <c r="P11" s="41">
        <f>IF($B11&gt;Parameters!$B$19,0,O11*VLOOKUP(O$7+$B11-1,'Mortality tables'!$A$5:$C$125,3,FALSE)*P$5*P$6)</f>
        <v>802.37299582536991</v>
      </c>
      <c r="Q11" s="93">
        <f>Q10*(1-VLOOKUP(Q$7+$A11-Parameters!$B$18-1,'Mortality tables'!$A$5:$E$125,3,FALSE))</f>
        <v>0.99684531450961966</v>
      </c>
      <c r="R11" s="37">
        <f>IF($B11&gt;Parameters!$B$19,0,Q11*VLOOKUP(Q$7+$B11-1,'Mortality tables'!$A$5:$C$125,3,FALSE)*R$5*R$6)</f>
        <v>5156.4316006296349</v>
      </c>
      <c r="S11" s="93">
        <f>S10*(1-VLOOKUP(S$7+$A11-Parameters!$B$18-1,'Mortality tables'!$A$5:$E$125,3,FALSE))</f>
        <v>0.99532429371600761</v>
      </c>
      <c r="T11" s="37">
        <f>IF($B11&gt;Parameters!$B$19,0,S11*VLOOKUP(S$7+'TA projections'!$A11-Parameters!$B$18,'Mortality tables'!$A$5:$C$125,3,FALSE)*T$5*T$6)</f>
        <v>44839.359431906138</v>
      </c>
      <c r="U11" s="93">
        <f>U10*(1-VLOOKUP(U$7+$A11-Parameters!$B$18-1,'Mortality tables'!$A$5:$E$125,3,FALSE))</f>
        <v>0.99327112230410453</v>
      </c>
      <c r="V11" s="37">
        <f>IF($B11&gt;Parameters!$B$19,0,U11*VLOOKUP(U$7+'TA projections'!$A11-Parameters!$B$18,'Mortality tables'!$A$5:$C$125,3,FALSE)*V$5*V$6)</f>
        <v>73488.157254791469</v>
      </c>
      <c r="W11" s="93">
        <f>W10*(1-VLOOKUP(W$7+$A11-Parameters!$B$18-1,'Mortality tables'!$A$5:$E$125,3,FALSE))</f>
        <v>0.9903869196673688</v>
      </c>
      <c r="X11" s="37">
        <f>IF($B11&gt;Parameters!$B$19,0,W11*VLOOKUP(W$7+'TA projections'!$A11-Parameters!$B$18,'Mortality tables'!$A$5:$C$125,3,FALSE)*X$5*X$6)</f>
        <v>4372.3601729474994</v>
      </c>
      <c r="Y11" s="93">
        <f>Y10*(1-VLOOKUP(Y$7+$A11-Parameters!$B$18-1,'Mortality tables'!$A$5:$E$125,3,FALSE))</f>
        <v>0.98668446820336486</v>
      </c>
      <c r="Z11" s="37">
        <f>IF($B11&gt;Parameters!$B$19,0,Y11*VLOOKUP(Y$7+'TA projections'!$A11-Parameters!$B$18,'Mortality tables'!$A$5:$C$125,3,FALSE)*Z$5*Z$6)</f>
        <v>1236.3156386588162</v>
      </c>
      <c r="AA11" s="92">
        <f>IF(B11&gt;Parameters!$B$19,0,SUM(Parameters!$C$5:$C$16)*Parameters!$B$46)</f>
        <v>11250</v>
      </c>
      <c r="AB11" s="63">
        <f t="shared" si="1"/>
        <v>490205.85918844369</v>
      </c>
      <c r="AD11" s="57">
        <f t="shared" si="2"/>
        <v>2025</v>
      </c>
      <c r="AE11" s="30">
        <f>AD11-Parameters!$B$18+1</f>
        <v>4</v>
      </c>
      <c r="AF11" s="93">
        <f>AF10*(1-VLOOKUP(AF$7+$B10-1,'Mortality tables'!$A$5:$E$125,4,FALSE))</f>
        <v>0.99673715439264288</v>
      </c>
      <c r="AG11" s="37">
        <f>IF($B11&gt;Parameters!$B$19,0,AF11*VLOOKUP(AF$7+$B11-1,'Mortality tables'!$A$5:$E$125,4,FALSE)*AG$5*AG$6)</f>
        <v>3448.3118593367876</v>
      </c>
      <c r="AH11" s="93">
        <f>AH10*(1-VLOOKUP(AH$7+$B10-1,'Mortality tables'!$A$5:$E$125,4,FALSE))</f>
        <v>0.99621159262749837</v>
      </c>
      <c r="AI11" s="37">
        <f>IF($B11&gt;Parameters!$B$19,0,AH11*VLOOKUP(AH$7+$B11-1,'Mortality tables'!$A$5:$E$125,4,FALSE)*AI$5*AI$6)</f>
        <v>802.62775594812274</v>
      </c>
      <c r="AJ11" s="93">
        <f>AJ10*(1-VLOOKUP(AJ$7+$B10-1,'Mortality tables'!$A$5:$E$125,4,FALSE))</f>
        <v>0.99546606471317756</v>
      </c>
      <c r="AK11" s="37">
        <f>IF($B11&gt;Parameters!$B$19,0,AJ11*VLOOKUP(AJ$7+$B11-1,'Mortality tables'!$A$5:$E$125,4,FALSE)*AK$5*AK$6)</f>
        <v>1253.391322080362</v>
      </c>
      <c r="AL11" s="93">
        <f>AL10*(1-VLOOKUP(AL$7+$B10-1,'Mortality tables'!$A$5:$E$125,4,FALSE))</f>
        <v>0.99377413838707995</v>
      </c>
      <c r="AM11" s="37">
        <f>IF($B11&gt;Parameters!$B$19,0,AL11*VLOOKUP(AL$7+$B11-1,'Mortality tables'!$A$5:$E$125,4,FALSE)*AM$5*AM$6)</f>
        <v>97358.064789505443</v>
      </c>
      <c r="AN11" s="93">
        <f>AN10*(1-VLOOKUP(AN$7+$B10-1,'Mortality tables'!$A$5:$E$125,4,FALSE))</f>
        <v>0.99025651445536289</v>
      </c>
      <c r="AO11" s="37">
        <f>IF($B11&gt;Parameters!$B$19,0,AN11*VLOOKUP(AN$7+$B11-1,'Mortality tables'!$A$5:$E$125,4,FALSE)*AO$5*AO$6)</f>
        <v>157236.89039128038</v>
      </c>
      <c r="AP11" s="93">
        <f>AP10*(1-VLOOKUP(AP$7+$B10-1,'Mortality tables'!$A$5:$E$125,4,FALSE))</f>
        <v>0.98374693023050086</v>
      </c>
      <c r="AQ11" s="37">
        <f>IF($B11&gt;Parameters!$B$19,0,AP11*VLOOKUP(AP$7+$B11-1,'Mortality tables'!$A$5:$E$125,4,FALSE)*AQ$5*AQ$6)</f>
        <v>157978.73902939988</v>
      </c>
      <c r="AR11" s="93">
        <f>AR10*(1-VLOOKUP(AR$7+$B10-1,'Mortality tables'!$A$5:$E$125,5,FALSE))</f>
        <v>0.99757196258442904</v>
      </c>
      <c r="AS11" s="41">
        <f>IF($B11&gt;Parameters!$B$19,0,AR11*VLOOKUP(AR$7+$B11-1,'Mortality tables'!$A$5:$E$125,5,FALSE)*AS$5*AS$6)</f>
        <v>962.45742950145723</v>
      </c>
      <c r="AT11" s="93">
        <f>AT10*(1-VLOOKUP(AT$7+$B10-1,'Mortality tables'!$A$5:$E$125,5,FALSE))</f>
        <v>0.99621517256052672</v>
      </c>
      <c r="AU11" s="54">
        <f>IF($B11&gt;Parameters!$B$19,0,AT11*VLOOKUP(AT$7+$B11-1,'Mortality tables'!$A$5:$E$125,5,FALSE)*AU$5*AU$6)</f>
        <v>6183.8064406349567</v>
      </c>
      <c r="AV11" s="93">
        <f>AV10*(1-VLOOKUP(AV$7+$B10-1,'Mortality tables'!$A$5:$E$125,5,FALSE))</f>
        <v>0.994390901861261</v>
      </c>
      <c r="AW11" s="54">
        <f>IF($B11&gt;Parameters!$B$19,0,AV11*VLOOKUP(AV$7+$B11-1,'Mortality tables'!$A$5:$E$125,5,FALSE)*AW$5*AW$6)</f>
        <v>53756.772154619779</v>
      </c>
      <c r="AX11" s="93">
        <f>AX10*(1-VLOOKUP(AX$7+$B10-1,'Mortality tables'!$A$5:$E$125,5,FALSE))</f>
        <v>0.99192897286354076</v>
      </c>
      <c r="AY11" s="54">
        <f>IF($B11&gt;Parameters!$B$19,0,AX11*VLOOKUP(AX$7+$B11-1,'Mortality tables'!$A$5:$E$125,5,FALSE)*AY$5*AY$6)</f>
        <v>88066.628383538307</v>
      </c>
      <c r="AZ11" s="93">
        <f>AZ10*(1-VLOOKUP(AZ$7+$B10-1,'Mortality tables'!$A$5:$E$125,5,FALSE))</f>
        <v>0.98847171479926133</v>
      </c>
      <c r="BA11" s="54">
        <f>IF($B11&gt;Parameters!$B$19,0,AZ11*VLOOKUP(AZ$7+$B11-1,'Mortality tables'!$A$5:$E$125,5,FALSE)*BA$5*BA$6)</f>
        <v>5236.6859117949334</v>
      </c>
      <c r="BB11" s="93">
        <f>BB10*(1-VLOOKUP(BB$7+$B10-1,'Mortality tables'!$A$5:$E$125,5,FALSE))</f>
        <v>0.9840356087857185</v>
      </c>
      <c r="BC11" s="54">
        <f>IF($B11&gt;Parameters!$B$19,0,BB11*VLOOKUP(BB$7+$B11-1,'Mortality tables'!$A$5:$E$125,5,FALSE)*BC$5*BC$6)</f>
        <v>1479.5959413702062</v>
      </c>
      <c r="BD11" s="92">
        <f>AA11*(1+Parameters!$B$54)</f>
        <v>12375.000000000002</v>
      </c>
      <c r="BE11" s="63">
        <f t="shared" si="3"/>
        <v>586138.97140901058</v>
      </c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5"/>
    </row>
    <row r="12" spans="1:76">
      <c r="A12" s="57">
        <f t="shared" si="0"/>
        <v>2026</v>
      </c>
      <c r="B12" s="30">
        <f>A12-Parameters!$B$18+1</f>
        <v>5</v>
      </c>
      <c r="C12" s="93">
        <f>C11*(1-VLOOKUP(C$7+$B11-1,'Mortality tables'!$A$5:$E$125,2,FALSE))</f>
        <v>0.9963220819473132</v>
      </c>
      <c r="D12" s="37">
        <f>IF($B12&gt;Parameters!$B$19,0,C12*VLOOKUP(C$7+$B12-1,'Mortality tables'!$A$5:$B$125,2,FALSE)*D$5*D$6)</f>
        <v>2962.0655496293621</v>
      </c>
      <c r="E12" s="93">
        <f>E11*(1-VLOOKUP(E$7+$B11-1,'Mortality tables'!$A$5:$E$125,2,FALSE))</f>
        <v>0.99572686188175119</v>
      </c>
      <c r="F12" s="37">
        <f>IF($B12&gt;Parameters!$B$19,0,E12*VLOOKUP(E$7+$B12-1,'Mortality tables'!$A$5:$B$125,2,FALSE)*F$5*F$6)</f>
        <v>696.61051257247311</v>
      </c>
      <c r="G12" s="93">
        <f>G11*(1-VLOOKUP(G$7+$B11-1,'Mortality tables'!$A$5:$E$125,2,FALSE))</f>
        <v>0.99482705470862076</v>
      </c>
      <c r="H12" s="37">
        <f>IF($B12&gt;Parameters!$B$19,0,G12*VLOOKUP(G$7+$B12-1,'Mortality tables'!$A$5:$B$125,2,FALSE)*H$5*H$6)</f>
        <v>1112.4653539279152</v>
      </c>
      <c r="I12" s="93">
        <f>I11*(1-VLOOKUP(I$7+$B11-1,'Mortality tables'!$A$5:$E$125,2,FALSE))</f>
        <v>0.99277957884404511</v>
      </c>
      <c r="J12" s="37">
        <f>IF($B12&gt;Parameters!$B$19,0,I12*VLOOKUP(I$7+$B12-1,'Mortality tables'!$A$5:$B$125,2,FALSE)*J$5*J$6)</f>
        <v>88714.783165503875</v>
      </c>
      <c r="K12" s="93">
        <f>K11*(1-VLOOKUP(K$7+$B11-1,'Mortality tables'!$A$5:$E$125,2,FALSE))</f>
        <v>0.9885949019925101</v>
      </c>
      <c r="L12" s="37">
        <f>IF($B12&gt;Parameters!$B$19,0,K12*VLOOKUP(K$7+$B12-1,'Mortality tables'!$A$5:$B$125,2,FALSE)*L$5*L$6)</f>
        <v>145046.64402034107</v>
      </c>
      <c r="M12" s="93">
        <f>M11*(1-VLOOKUP(M$7+$B11-1,'Mortality tables'!$A$5:$E$125,2,FALSE))</f>
        <v>0.98094308888521875</v>
      </c>
      <c r="N12" s="37">
        <f>IF($B12&gt;Parameters!$B$19,0,M12*VLOOKUP(M$7+$B12-1,'Mortality tables'!$A$5:$B$125,2,FALSE)*N$5*N$6)</f>
        <v>145564.10684585539</v>
      </c>
      <c r="O12" s="93">
        <f>O11*(1-VLOOKUP(O$7+$A12-Parameters!$B$18-1,'Mortality tables'!$A$5:$E$125,3,FALSE))</f>
        <v>0.99717398997105267</v>
      </c>
      <c r="P12" s="41">
        <f>IF($B12&gt;Parameters!$B$19,0,O12*VLOOKUP(O$7+$B12-1,'Mortality tables'!$A$5:$C$125,3,FALSE)*P$5*P$6)</f>
        <v>876.51593718455547</v>
      </c>
      <c r="Q12" s="93">
        <f>Q11*(1-VLOOKUP(Q$7+$A12-Parameters!$B$18-1,'Mortality tables'!$A$5:$E$125,3,FALSE))</f>
        <v>0.99559527048522467</v>
      </c>
      <c r="R12" s="37">
        <f>IF($B12&gt;Parameters!$B$19,0,Q12*VLOOKUP(Q$7+$B12-1,'Mortality tables'!$A$5:$C$125,3,FALSE)*R$5*R$6)</f>
        <v>5536.0075015330913</v>
      </c>
      <c r="S12" s="93">
        <f>S11*(1-VLOOKUP(S$7+$A12-Parameters!$B$18-1,'Mortality tables'!$A$5:$E$125,3,FALSE))</f>
        <v>0.99353071933873138</v>
      </c>
      <c r="T12" s="37">
        <f>IF($B12&gt;Parameters!$B$19,0,S12*VLOOKUP(S$7+'TA projections'!$A12-Parameters!$B$18,'Mortality tables'!$A$5:$C$125,3,FALSE)*T$5*T$6)</f>
        <v>48136.563351961537</v>
      </c>
      <c r="U12" s="93">
        <f>U11*(1-VLOOKUP(U$7+$A12-Parameters!$B$18-1,'Mortality tables'!$A$5:$E$125,3,FALSE))</f>
        <v>0.99069259047060299</v>
      </c>
      <c r="V12" s="37">
        <f>IF($B12&gt;Parameters!$B$19,0,U12*VLOOKUP(U$7+'TA projections'!$A12-Parameters!$B$18,'Mortality tables'!$A$5:$C$125,3,FALSE)*V$5*V$6)</f>
        <v>78746.686592441576</v>
      </c>
      <c r="W12" s="93">
        <f>W11*(1-VLOOKUP(W$7+$A12-Parameters!$B$18-1,'Mortality tables'!$A$5:$E$125,3,FALSE))</f>
        <v>0.98674328618991258</v>
      </c>
      <c r="X12" s="37">
        <f>IF($B12&gt;Parameters!$B$19,0,W12*VLOOKUP(W$7+'TA projections'!$A12-Parameters!$B$18,'Mortality tables'!$A$5:$C$125,3,FALSE)*X$5*X$6)</f>
        <v>4652.2972457282003</v>
      </c>
      <c r="Y12" s="93">
        <f>Y11*(1-VLOOKUP(Y$7+$A12-Parameters!$B$18-1,'Mortality tables'!$A$5:$E$125,3,FALSE))</f>
        <v>0.98173920564872963</v>
      </c>
      <c r="Z12" s="37">
        <f>IF($B12&gt;Parameters!$B$19,0,Y12*VLOOKUP(Y$7+'TA projections'!$A12-Parameters!$B$18,'Mortality tables'!$A$5:$C$125,3,FALSE)*Z$5*Z$6)</f>
        <v>1299.577273477506</v>
      </c>
      <c r="AA12" s="92">
        <f>IF(B12&gt;Parameters!$B$19,0,SUM(Parameters!$C$5:$C$16)*Parameters!$B$46)</f>
        <v>11250</v>
      </c>
      <c r="AB12" s="63">
        <f t="shared" si="1"/>
        <v>534594.32335015666</v>
      </c>
      <c r="AD12" s="57">
        <f t="shared" si="2"/>
        <v>2026</v>
      </c>
      <c r="AE12" s="30">
        <f>AD12-Parameters!$B$18+1</f>
        <v>5</v>
      </c>
      <c r="AF12" s="93">
        <f>AF11*(1-VLOOKUP(AF$7+$B11-1,'Mortality tables'!$A$5:$E$125,4,FALSE))</f>
        <v>0.99558771710619731</v>
      </c>
      <c r="AG12" s="37">
        <f>IF($B12&gt;Parameters!$B$19,0,AF12*VLOOKUP(AF$7+$B12-1,'Mortality tables'!$A$5:$E$125,4,FALSE)*AG$5*AG$6)</f>
        <v>3551.8587395480686</v>
      </c>
      <c r="AH12" s="93">
        <f>AH11*(1-VLOOKUP(AH$7+$B11-1,'Mortality tables'!$A$5:$E$125,4,FALSE))</f>
        <v>0.99487387970091823</v>
      </c>
      <c r="AI12" s="37">
        <f>IF($B12&gt;Parameters!$B$19,0,AH12*VLOOKUP(AH$7+$B12-1,'Mortality tables'!$A$5:$E$125,4,FALSE)*AI$5*AI$6)</f>
        <v>835.21651948651493</v>
      </c>
      <c r="AJ12" s="93">
        <f>AJ11*(1-VLOOKUP(AJ$7+$B11-1,'Mortality tables'!$A$5:$E$125,4,FALSE))</f>
        <v>0.99379487628373708</v>
      </c>
      <c r="AK12" s="37">
        <f>IF($B12&gt;Parameters!$B$19,0,AJ12*VLOOKUP(AJ$7+$B12-1,'Mortality tables'!$A$5:$E$125,4,FALSE)*AK$5*AK$6)</f>
        <v>1333.5733444851469</v>
      </c>
      <c r="AL12" s="93">
        <f>AL11*(1-VLOOKUP(AL$7+$B11-1,'Mortality tables'!$A$5:$E$125,4,FALSE))</f>
        <v>0.99134018676734226</v>
      </c>
      <c r="AM12" s="37">
        <f>IF($B12&gt;Parameters!$B$19,0,AL12*VLOOKUP(AL$7+$B12-1,'Mortality tables'!$A$5:$E$125,4,FALSE)*AM$5*AM$6)</f>
        <v>106303.39090743563</v>
      </c>
      <c r="AN12" s="93">
        <f>AN11*(1-VLOOKUP(AN$7+$B11-1,'Mortality tables'!$A$5:$E$125,4,FALSE))</f>
        <v>0.98632559219558091</v>
      </c>
      <c r="AO12" s="37">
        <f>IF($B12&gt;Parameters!$B$19,0,AN12*VLOOKUP(AN$7+$B12-1,'Mortality tables'!$A$5:$E$125,4,FALSE)*AO$5*AO$6)</f>
        <v>173656.42906432273</v>
      </c>
      <c r="AP12" s="93">
        <f>AP11*(1-VLOOKUP(AP$7+$B11-1,'Mortality tables'!$A$5:$E$125,4,FALSE))</f>
        <v>0.97716448277094248</v>
      </c>
      <c r="AQ12" s="37">
        <f>IF($B12&gt;Parameters!$B$19,0,AP12*VLOOKUP(AP$7+$B12-1,'Mortality tables'!$A$5:$E$125,4,FALSE)*AQ$5*AQ$6)</f>
        <v>174004.07031281485</v>
      </c>
      <c r="AR12" s="93">
        <f>AR11*(1-VLOOKUP(AR$7+$B11-1,'Mortality tables'!$A$5:$E$125,5,FALSE))</f>
        <v>0.99660950515492763</v>
      </c>
      <c r="AS12" s="41">
        <f>IF($B12&gt;Parameters!$B$19,0,AR12*VLOOKUP(AR$7+$B12-1,'Mortality tables'!$A$5:$E$125,5,FALSE)*AS$5*AS$6)</f>
        <v>1051.2237060374177</v>
      </c>
      <c r="AT12" s="93">
        <f>AT11*(1-VLOOKUP(AT$7+$B11-1,'Mortality tables'!$A$5:$E$125,5,FALSE))</f>
        <v>0.9947160679688577</v>
      </c>
      <c r="AU12" s="54">
        <f>IF($B12&gt;Parameters!$B$19,0,AT12*VLOOKUP(AT$7+$B12-1,'Mortality tables'!$A$5:$E$125,5,FALSE)*AU$5*AU$6)</f>
        <v>6637.3424351290005</v>
      </c>
      <c r="AV12" s="93">
        <f>AV11*(1-VLOOKUP(AV$7+$B11-1,'Mortality tables'!$A$5:$E$125,5,FALSE))</f>
        <v>0.9922406309750762</v>
      </c>
      <c r="AW12" s="54">
        <f>IF($B12&gt;Parameters!$B$19,0,AV12*VLOOKUP(AV$7+$B12-1,'Mortality tables'!$A$5:$E$125,5,FALSE)*AW$5*AW$6)</f>
        <v>57688.870284890923</v>
      </c>
      <c r="AX12" s="93">
        <f>AX11*(1-VLOOKUP(AX$7+$B11-1,'Mortality tables'!$A$5:$E$125,5,FALSE))</f>
        <v>0.98883891572727622</v>
      </c>
      <c r="AY12" s="54">
        <f>IF($B12&gt;Parameters!$B$19,0,AX12*VLOOKUP(AX$7+$B12-1,'Mortality tables'!$A$5:$E$125,5,FALSE)*AY$5*AY$6)</f>
        <v>94319.213369947363</v>
      </c>
      <c r="AZ12" s="93">
        <f>AZ11*(1-VLOOKUP(AZ$7+$B11-1,'Mortality tables'!$A$5:$E$125,5,FALSE))</f>
        <v>0.98410780987276547</v>
      </c>
      <c r="BA12" s="54">
        <f>IF($B12&gt;Parameters!$B$19,0,AZ12*VLOOKUP(AZ$7+$B12-1,'Mortality tables'!$A$5:$E$125,5,FALSE)*BA$5*BA$6)</f>
        <v>5567.8458023857384</v>
      </c>
      <c r="BB12" s="93">
        <f>BB11*(1-VLOOKUP(BB$7+$B11-1,'Mortality tables'!$A$5:$E$125,5,FALSE))</f>
        <v>0.97811722502023768</v>
      </c>
      <c r="BC12" s="54">
        <f>IF($B12&gt;Parameters!$B$19,0,BB12*VLOOKUP(BB$7+$B12-1,'Mortality tables'!$A$5:$E$125,5,FALSE)*BC$5*BC$6)</f>
        <v>1553.7392119446474</v>
      </c>
      <c r="BD12" s="92">
        <f>AA12*(1+Parameters!$B$54)</f>
        <v>12375.000000000002</v>
      </c>
      <c r="BE12" s="63">
        <f t="shared" si="3"/>
        <v>638877.77369842795</v>
      </c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5"/>
    </row>
    <row r="13" spans="1:76">
      <c r="A13" s="57">
        <f t="shared" si="0"/>
        <v>2027</v>
      </c>
      <c r="B13" s="30">
        <f>A13-Parameters!$B$18+1</f>
        <v>6</v>
      </c>
      <c r="C13" s="93">
        <f>C12*(1-VLOOKUP(C$7+$B12-1,'Mortality tables'!$A$5:$E$125,2,FALSE))</f>
        <v>0.99533472676410339</v>
      </c>
      <c r="D13" s="37">
        <f>IF($B13&gt;Parameters!$B$19,0,C13*VLOOKUP(C$7+$B13-1,'Mortality tables'!$A$5:$B$125,2,FALSE)*D$5*D$6)</f>
        <v>3051.6962722587405</v>
      </c>
      <c r="E13" s="93">
        <f>E12*(1-VLOOKUP(E$7+$B12-1,'Mortality tables'!$A$5:$E$125,2,FALSE))</f>
        <v>0.99456584436079709</v>
      </c>
      <c r="F13" s="37">
        <f>IF($B13&gt;Parameters!$B$19,0,E13*VLOOKUP(E$7+$B13-1,'Mortality tables'!$A$5:$B$125,2,FALSE)*F$5*F$6)</f>
        <v>719.66784497947287</v>
      </c>
      <c r="G13" s="93">
        <f>G12*(1-VLOOKUP(G$7+$B12-1,'Mortality tables'!$A$5:$E$125,2,FALSE))</f>
        <v>0.99334376757005016</v>
      </c>
      <c r="H13" s="37">
        <f>IF($B13&gt;Parameters!$B$19,0,G13*VLOOKUP(G$7+$B13-1,'Mortality tables'!$A$5:$B$125,2,FALSE)*H$5*H$6)</f>
        <v>1192.0125210840604</v>
      </c>
      <c r="I13" s="93">
        <f>I12*(1-VLOOKUP(I$7+$B12-1,'Mortality tables'!$A$5:$E$125,2,FALSE))</f>
        <v>0.9905617092649075</v>
      </c>
      <c r="J13" s="37">
        <f>IF($B13&gt;Parameters!$B$19,0,I13*VLOOKUP(I$7+$B13-1,'Mortality tables'!$A$5:$B$125,2,FALSE)*J$5*J$6)</f>
        <v>97233.537381443326</v>
      </c>
      <c r="K13" s="93">
        <f>K12*(1-VLOOKUP(K$7+$B12-1,'Mortality tables'!$A$5:$E$125,2,FALSE))</f>
        <v>0.98496873589200162</v>
      </c>
      <c r="L13" s="37">
        <f>IF($B13&gt;Parameters!$B$19,0,K13*VLOOKUP(K$7+$B13-1,'Mortality tables'!$A$5:$B$125,2,FALSE)*L$5*L$6)</f>
        <v>160431.70770208925</v>
      </c>
      <c r="M13" s="93">
        <f>M12*(1-VLOOKUP(M$7+$B12-1,'Mortality tables'!$A$5:$E$125,2,FALSE))</f>
        <v>0.97487791776664134</v>
      </c>
      <c r="N13" s="37">
        <f>IF($B13&gt;Parameters!$B$19,0,M13*VLOOKUP(M$7+$B13-1,'Mortality tables'!$A$5:$B$125,2,FALSE)*N$5*N$6)</f>
        <v>160152.94433070387</v>
      </c>
      <c r="O13" s="93">
        <f>O12*(1-VLOOKUP(O$7+$A13-Parameters!$B$18-1,'Mortality tables'!$A$5:$E$125,3,FALSE))</f>
        <v>0.99629747403386815</v>
      </c>
      <c r="P13" s="41">
        <f>IF($B13&gt;Parameters!$B$19,0,O13*VLOOKUP(O$7+$B13-1,'Mortality tables'!$A$5:$C$125,3,FALSE)*P$5*P$6)</f>
        <v>957.44187254654742</v>
      </c>
      <c r="Q13" s="93">
        <f>Q12*(1-VLOOKUP(Q$7+$A13-Parameters!$B$18-1,'Mortality tables'!$A$5:$E$125,3,FALSE))</f>
        <v>0.99425320806061057</v>
      </c>
      <c r="R13" s="37">
        <f>IF($B13&gt;Parameters!$B$19,0,Q13*VLOOKUP(Q$7+$B13-1,'Mortality tables'!$A$5:$C$125,3,FALSE)*R$5*R$6)</f>
        <v>5946.8770007125268</v>
      </c>
      <c r="S13" s="93">
        <f>S12*(1-VLOOKUP(S$7+$A13-Parameters!$B$18-1,'Mortality tables'!$A$5:$E$125,3,FALSE))</f>
        <v>0.99160525680465295</v>
      </c>
      <c r="T13" s="37">
        <f>IF($B13&gt;Parameters!$B$19,0,S13*VLOOKUP(S$7+'TA projections'!$A13-Parameters!$B$18,'Mortality tables'!$A$5:$C$125,3,FALSE)*T$5*T$6)</f>
        <v>51712.214142362653</v>
      </c>
      <c r="U13" s="93">
        <f>U12*(1-VLOOKUP(U$7+$A13-Parameters!$B$18-1,'Mortality tables'!$A$5:$E$125,3,FALSE))</f>
        <v>0.98792954883578044</v>
      </c>
      <c r="V13" s="37">
        <f>IF($B13&gt;Parameters!$B$19,0,U13*VLOOKUP(U$7+'TA projections'!$A13-Parameters!$B$18,'Mortality tables'!$A$5:$C$125,3,FALSE)*V$5*V$6)</f>
        <v>84299.040472608307</v>
      </c>
      <c r="W13" s="93">
        <f>W12*(1-VLOOKUP(W$7+$A13-Parameters!$B$18-1,'Mortality tables'!$A$5:$E$125,3,FALSE))</f>
        <v>0.98286637181847247</v>
      </c>
      <c r="X13" s="37">
        <f>IF($B13&gt;Parameters!$B$19,0,W13*VLOOKUP(W$7+'TA projections'!$A13-Parameters!$B$18,'Mortality tables'!$A$5:$C$125,3,FALSE)*X$5*X$6)</f>
        <v>4939.4932382109155</v>
      </c>
      <c r="Y13" s="93">
        <f>Y12*(1-VLOOKUP(Y$7+$A13-Parameters!$B$18-1,'Mortality tables'!$A$5:$E$125,3,FALSE))</f>
        <v>0.97654089655481957</v>
      </c>
      <c r="Z13" s="37">
        <f>IF($B13&gt;Parameters!$B$19,0,Y13*VLOOKUP(Y$7+'TA projections'!$A13-Parameters!$B$18,'Mortality tables'!$A$5:$C$125,3,FALSE)*Z$5*Z$6)</f>
        <v>1362.2745506939732</v>
      </c>
      <c r="AA13" s="92">
        <f>IF(B13&gt;Parameters!$B$19,0,SUM(Parameters!$C$5:$C$16)*Parameters!$B$46)</f>
        <v>11250</v>
      </c>
      <c r="AB13" s="63">
        <f t="shared" si="1"/>
        <v>583248.90732969355</v>
      </c>
      <c r="AD13" s="57">
        <f t="shared" si="2"/>
        <v>2027</v>
      </c>
      <c r="AE13" s="30">
        <f>AD13-Parameters!$B$18+1</f>
        <v>6</v>
      </c>
      <c r="AF13" s="93">
        <f>AF12*(1-VLOOKUP(AF$7+$B12-1,'Mortality tables'!$A$5:$E$125,4,FALSE))</f>
        <v>0.99440376419301457</v>
      </c>
      <c r="AG13" s="37">
        <f>IF($B13&gt;Parameters!$B$19,0,AF13*VLOOKUP(AF$7+$B13-1,'Mortality tables'!$A$5:$E$125,4,FALSE)*AG$5*AG$6)</f>
        <v>3658.6103292189387</v>
      </c>
      <c r="AH13" s="93">
        <f>AH12*(1-VLOOKUP(AH$7+$B12-1,'Mortality tables'!$A$5:$E$125,4,FALSE))</f>
        <v>0.99348185216844065</v>
      </c>
      <c r="AI13" s="37">
        <f>IF($B13&gt;Parameters!$B$19,0,AH13*VLOOKUP(AH$7+$B13-1,'Mortality tables'!$A$5:$E$125,4,FALSE)*AI$5*AI$6)</f>
        <v>862.66016187490038</v>
      </c>
      <c r="AJ13" s="93">
        <f>AJ12*(1-VLOOKUP(AJ$7+$B12-1,'Mortality tables'!$A$5:$E$125,4,FALSE))</f>
        <v>0.99201677849109016</v>
      </c>
      <c r="AK13" s="37">
        <f>IF($B13&gt;Parameters!$B$19,0,AJ13*VLOOKUP(AJ$7+$B13-1,'Mortality tables'!$A$5:$E$125,4,FALSE)*AK$5*AK$6)</f>
        <v>1428.5041610271699</v>
      </c>
      <c r="AL13" s="93">
        <f>AL12*(1-VLOOKUP(AL$7+$B12-1,'Mortality tables'!$A$5:$E$125,4,FALSE))</f>
        <v>0.9886826019946563</v>
      </c>
      <c r="AM13" s="37">
        <f>IF($B13&gt;Parameters!$B$19,0,AL13*VLOOKUP(AL$7+$B13-1,'Mortality tables'!$A$5:$E$125,4,FALSE)*AM$5*AM$6)</f>
        <v>116458.90105415456</v>
      </c>
      <c r="AN13" s="93">
        <f>AN12*(1-VLOOKUP(AN$7+$B12-1,'Mortality tables'!$A$5:$E$125,4,FALSE))</f>
        <v>0.98198418146897282</v>
      </c>
      <c r="AO13" s="37">
        <f>IF($B13&gt;Parameters!$B$19,0,AN13*VLOOKUP(AN$7+$B13-1,'Mortality tables'!$A$5:$E$125,4,FALSE)*AO$5*AO$6)</f>
        <v>191934.70017319956</v>
      </c>
      <c r="AP13" s="93">
        <f>AP12*(1-VLOOKUP(AP$7+$B12-1,'Mortality tables'!$A$5:$E$125,4,FALSE))</f>
        <v>0.96991431317457522</v>
      </c>
      <c r="AQ13" s="37">
        <f>IF($B13&gt;Parameters!$B$19,0,AP13*VLOOKUP(AP$7+$B13-1,'Mortality tables'!$A$5:$E$125,4,FALSE)*AQ$5*AQ$6)</f>
        <v>191205.02804198305</v>
      </c>
      <c r="AR13" s="93">
        <f>AR12*(1-VLOOKUP(AR$7+$B12-1,'Mortality tables'!$A$5:$E$125,5,FALSE))</f>
        <v>0.99555828144889025</v>
      </c>
      <c r="AS13" s="41">
        <f>IF($B13&gt;Parameters!$B$19,0,AR13*VLOOKUP(AR$7+$B13-1,'Mortality tables'!$A$5:$E$125,5,FALSE)*AS$5*AS$6)</f>
        <v>1148.0778101668602</v>
      </c>
      <c r="AT13" s="93">
        <f>AT12*(1-VLOOKUP(AT$7+$B12-1,'Mortality tables'!$A$5:$E$125,5,FALSE))</f>
        <v>0.99310701525731127</v>
      </c>
      <c r="AU13" s="54">
        <f>IF($B13&gt;Parameters!$B$19,0,AT13*VLOOKUP(AT$7+$B13-1,'Mortality tables'!$A$5:$E$125,5,FALSE)*AU$5*AU$6)</f>
        <v>7128.0256020093511</v>
      </c>
      <c r="AV13" s="93">
        <f>AV12*(1-VLOOKUP(AV$7+$B12-1,'Mortality tables'!$A$5:$E$125,5,FALSE))</f>
        <v>0.98993307616368054</v>
      </c>
      <c r="AW13" s="54">
        <f>IF($B13&gt;Parameters!$B$19,0,AV13*VLOOKUP(AV$7+$B13-1,'Mortality tables'!$A$5:$E$125,5,FALSE)*AW$5*AW$6)</f>
        <v>61950.011906323132</v>
      </c>
      <c r="AX13" s="93">
        <f>AX12*(1-VLOOKUP(AX$7+$B12-1,'Mortality tables'!$A$5:$E$125,5,FALSE))</f>
        <v>0.98552946964412014</v>
      </c>
      <c r="AY13" s="54">
        <f>IF($B13&gt;Parameters!$B$19,0,AX13*VLOOKUP(AX$7+$B13-1,'Mortality tables'!$A$5:$E$125,5,FALSE)*AY$5*AY$6)</f>
        <v>100913.09293831576</v>
      </c>
      <c r="AZ13" s="93">
        <f>AZ12*(1-VLOOKUP(AZ$7+$B12-1,'Mortality tables'!$A$5:$E$125,5,FALSE))</f>
        <v>0.97946793837077739</v>
      </c>
      <c r="BA13" s="54">
        <f>IF($B13&gt;Parameters!$B$19,0,AZ13*VLOOKUP(AZ$7+$B13-1,'Mortality tables'!$A$5:$E$125,5,FALSE)*BA$5*BA$6)</f>
        <v>5906.8968852914149</v>
      </c>
      <c r="BB13" s="93">
        <f>BB12*(1-VLOOKUP(BB$7+$B12-1,'Mortality tables'!$A$5:$E$125,5,FALSE))</f>
        <v>0.97190226817245917</v>
      </c>
      <c r="BC13" s="54">
        <f>IF($B13&gt;Parameters!$B$19,0,BB13*VLOOKUP(BB$7+$B13-1,'Mortality tables'!$A$5:$E$125,5,FALSE)*BC$5*BC$6)</f>
        <v>1626.9643969206968</v>
      </c>
      <c r="BD13" s="92">
        <f>AA13*(1+Parameters!$B$54)</f>
        <v>12375.000000000002</v>
      </c>
      <c r="BE13" s="63">
        <f t="shared" si="3"/>
        <v>696596.47346048546</v>
      </c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5"/>
    </row>
    <row r="14" spans="1:76">
      <c r="A14" s="57">
        <f t="shared" si="0"/>
        <v>2028</v>
      </c>
      <c r="B14" s="30">
        <f>A14-Parameters!$B$18+1</f>
        <v>7</v>
      </c>
      <c r="C14" s="93">
        <f>C13*(1-VLOOKUP(C$7+$B13-1,'Mortality tables'!$A$5:$E$125,2,FALSE))</f>
        <v>0.99431749467335051</v>
      </c>
      <c r="D14" s="37">
        <f>IF($B14&gt;Parameters!$B$19,0,C14*VLOOKUP(C$7+$B14-1,'Mortality tables'!$A$5:$B$125,2,FALSE)*D$5*D$6)</f>
        <v>3141.0489656731133</v>
      </c>
      <c r="E14" s="93">
        <f>E13*(1-VLOOKUP(E$7+$B13-1,'Mortality tables'!$A$5:$E$125,2,FALSE))</f>
        <v>0.99336639795249793</v>
      </c>
      <c r="F14" s="37">
        <f>IF($B14&gt;Parameters!$B$19,0,E14*VLOOKUP(E$7+$B14-1,'Mortality tables'!$A$5:$B$125,2,FALSE)*F$5*F$6)</f>
        <v>749.1969373357739</v>
      </c>
      <c r="G14" s="93">
        <f>G13*(1-VLOOKUP(G$7+$B13-1,'Mortality tables'!$A$5:$E$125,2,FALSE))</f>
        <v>0.99175441754193805</v>
      </c>
      <c r="H14" s="37">
        <f>IF($B14&gt;Parameters!$B$19,0,G14*VLOOKUP(G$7+$B14-1,'Mortality tables'!$A$5:$B$125,2,FALSE)*H$5*H$6)</f>
        <v>1283.8260935080389</v>
      </c>
      <c r="I14" s="93">
        <f>I13*(1-VLOOKUP(I$7+$B13-1,'Mortality tables'!$A$5:$E$125,2,FALSE))</f>
        <v>0.98813087083037143</v>
      </c>
      <c r="J14" s="37">
        <f>IF($B14&gt;Parameters!$B$19,0,I14*VLOOKUP(I$7+$B14-1,'Mortality tables'!$A$5:$B$125,2,FALSE)*J$5*J$6)</f>
        <v>106876.23498901297</v>
      </c>
      <c r="K14" s="93">
        <f>K13*(1-VLOOKUP(K$7+$B13-1,'Mortality tables'!$A$5:$E$125,2,FALSE))</f>
        <v>0.9809579431994494</v>
      </c>
      <c r="L14" s="37">
        <f>IF($B14&gt;Parameters!$B$19,0,K14*VLOOKUP(K$7+$B14-1,'Mortality tables'!$A$5:$B$125,2,FALSE)*L$5*L$6)</f>
        <v>177474.9110836444</v>
      </c>
      <c r="M14" s="93">
        <f>M13*(1-VLOOKUP(M$7+$B13-1,'Mortality tables'!$A$5:$E$125,2,FALSE))</f>
        <v>0.96820487841952874</v>
      </c>
      <c r="N14" s="37">
        <f>IF($B14&gt;Parameters!$B$19,0,M14*VLOOKUP(M$7+$B14-1,'Mortality tables'!$A$5:$B$125,2,FALSE)*N$5*N$6)</f>
        <v>175717.56697460343</v>
      </c>
      <c r="O14" s="93">
        <f>O13*(1-VLOOKUP(O$7+$A14-Parameters!$B$18-1,'Mortality tables'!$A$5:$E$125,3,FALSE))</f>
        <v>0.99534003216132161</v>
      </c>
      <c r="P14" s="41">
        <f>IF($B14&gt;Parameters!$B$19,0,O14*VLOOKUP(O$7+$B14-1,'Mortality tables'!$A$5:$C$125,3,FALSE)*P$5*P$6)</f>
        <v>1045.1070337693877</v>
      </c>
      <c r="Q14" s="93">
        <f>Q13*(1-VLOOKUP(Q$7+$A14-Parameters!$B$18-1,'Mortality tables'!$A$5:$E$125,3,FALSE))</f>
        <v>0.99281154090892276</v>
      </c>
      <c r="R14" s="37">
        <f>IF($B14&gt;Parameters!$B$19,0,Q14*VLOOKUP(Q$7+$B14-1,'Mortality tables'!$A$5:$C$125,3,FALSE)*R$5*R$6)</f>
        <v>6380.5515705364196</v>
      </c>
      <c r="S14" s="93">
        <f>S13*(1-VLOOKUP(S$7+$A14-Parameters!$B$18-1,'Mortality tables'!$A$5:$E$125,3,FALSE))</f>
        <v>0.98953676823895842</v>
      </c>
      <c r="T14" s="37">
        <f>IF($B14&gt;Parameters!$B$19,0,S14*VLOOKUP(S$7+'TA projections'!$A14-Parameters!$B$18,'Mortality tables'!$A$5:$C$125,3,FALSE)*T$5*T$6)</f>
        <v>55513.012698205566</v>
      </c>
      <c r="U14" s="93">
        <f>U13*(1-VLOOKUP(U$7+$A14-Parameters!$B$18-1,'Mortality tables'!$A$5:$E$125,3,FALSE))</f>
        <v>0.98497168776656607</v>
      </c>
      <c r="V14" s="37">
        <f>IF($B14&gt;Parameters!$B$19,0,U14*VLOOKUP(U$7+'TA projections'!$A14-Parameters!$B$18,'Mortality tables'!$A$5:$C$125,3,FALSE)*V$5*V$6)</f>
        <v>90138.206548425631</v>
      </c>
      <c r="W14" s="93">
        <f>W13*(1-VLOOKUP(W$7+$A14-Parameters!$B$18-1,'Mortality tables'!$A$5:$E$125,3,FALSE))</f>
        <v>0.9787501274532967</v>
      </c>
      <c r="X14" s="37">
        <f>IF($B14&gt;Parameters!$B$19,0,W14*VLOOKUP(W$7+'TA projections'!$A14-Parameters!$B$18,'Mortality tables'!$A$5:$C$125,3,FALSE)*X$5*X$6)</f>
        <v>5233.5726815182679</v>
      </c>
      <c r="Y14" s="93">
        <f>Y13*(1-VLOOKUP(Y$7+$A14-Parameters!$B$18-1,'Mortality tables'!$A$5:$E$125,3,FALSE))</f>
        <v>0.97109179835204362</v>
      </c>
      <c r="Z14" s="37">
        <f>IF($B14&gt;Parameters!$B$19,0,Y14*VLOOKUP(Y$7+'TA projections'!$A14-Parameters!$B$18,'Mortality tables'!$A$5:$C$125,3,FALSE)*Z$5*Z$6)</f>
        <v>1423.377803434508</v>
      </c>
      <c r="AA14" s="92">
        <f>IF(B14&gt;Parameters!$B$19,0,SUM(Parameters!$C$5:$C$16)*Parameters!$B$46)</f>
        <v>11250</v>
      </c>
      <c r="AB14" s="63">
        <f t="shared" si="1"/>
        <v>636226.61337966751</v>
      </c>
      <c r="AD14" s="57">
        <f t="shared" si="2"/>
        <v>2028</v>
      </c>
      <c r="AE14" s="30">
        <f>AD14-Parameters!$B$18+1</f>
        <v>7</v>
      </c>
      <c r="AF14" s="93">
        <f>AF13*(1-VLOOKUP(AF$7+$B13-1,'Mortality tables'!$A$5:$E$125,4,FALSE))</f>
        <v>0.99318422741660828</v>
      </c>
      <c r="AG14" s="37">
        <f>IF($B14&gt;Parameters!$B$19,0,AF14*VLOOKUP(AF$7+$B14-1,'Mortality tables'!$A$5:$E$125,4,FALSE)*AG$5*AG$6)</f>
        <v>3764.9627692908784</v>
      </c>
      <c r="AH14" s="93">
        <f>AH13*(1-VLOOKUP(AH$7+$B13-1,'Mortality tables'!$A$5:$E$125,4,FALSE))</f>
        <v>0.99204408523198251</v>
      </c>
      <c r="AI14" s="37">
        <f>IF($B14&gt;Parameters!$B$19,0,AH14*VLOOKUP(AH$7+$B14-1,'Mortality tables'!$A$5:$E$125,4,FALSE)*AI$5*AI$6)</f>
        <v>897.83957889835347</v>
      </c>
      <c r="AJ14" s="93">
        <f>AJ13*(1-VLOOKUP(AJ$7+$B13-1,'Mortality tables'!$A$5:$E$125,4,FALSE))</f>
        <v>0.99011210627638724</v>
      </c>
      <c r="AK14" s="37">
        <f>IF($B14&gt;Parameters!$B$19,0,AJ14*VLOOKUP(AJ$7+$B14-1,'Mortality tables'!$A$5:$E$125,4,FALSE)*AK$5*AK$6)</f>
        <v>1538.04014588974</v>
      </c>
      <c r="AL14" s="93">
        <f>AL13*(1-VLOOKUP(AL$7+$B13-1,'Mortality tables'!$A$5:$E$125,4,FALSE))</f>
        <v>0.98577112946830248</v>
      </c>
      <c r="AM14" s="37">
        <f>IF($B14&gt;Parameters!$B$19,0,AL14*VLOOKUP(AL$7+$B14-1,'Mortality tables'!$A$5:$E$125,4,FALSE)*AM$5*AM$6)</f>
        <v>127945.20643594991</v>
      </c>
      <c r="AN14" s="93">
        <f>AN13*(1-VLOOKUP(AN$7+$B13-1,'Mortality tables'!$A$5:$E$125,4,FALSE))</f>
        <v>0.97718581396464288</v>
      </c>
      <c r="AO14" s="37">
        <f>IF($B14&gt;Parameters!$B$19,0,AN14*VLOOKUP(AN$7+$B14-1,'Mortality tables'!$A$5:$E$125,4,FALSE)*AO$5*AO$6)</f>
        <v>212150.94895497986</v>
      </c>
      <c r="AP14" s="93">
        <f>AP13*(1-VLOOKUP(AP$7+$B13-1,'Mortality tables'!$A$5:$E$125,4,FALSE))</f>
        <v>0.96194743700615926</v>
      </c>
      <c r="AQ14" s="37">
        <f>IF($B14&gt;Parameters!$B$19,0,AP14*VLOOKUP(AP$7+$B14-1,'Mortality tables'!$A$5:$E$125,4,FALSE)*AQ$5*AQ$6)</f>
        <v>209498.2997368486</v>
      </c>
      <c r="AR14" s="93">
        <f>AR13*(1-VLOOKUP(AR$7+$B13-1,'Mortality tables'!$A$5:$E$125,5,FALSE))</f>
        <v>0.99441020363872346</v>
      </c>
      <c r="AS14" s="41">
        <f>IF($B14&gt;Parameters!$B$19,0,AR14*VLOOKUP(AR$7+$B14-1,'Mortality tables'!$A$5:$E$125,5,FALSE)*AS$5*AS$6)</f>
        <v>1252.9568565847912</v>
      </c>
      <c r="AT14" s="93">
        <f>AT13*(1-VLOOKUP(AT$7+$B13-1,'Mortality tables'!$A$5:$E$125,5,FALSE))</f>
        <v>0.99137900905076359</v>
      </c>
      <c r="AU14" s="54">
        <f>IF($B14&gt;Parameters!$B$19,0,AT14*VLOOKUP(AT$7+$B14-1,'Mortality tables'!$A$5:$E$125,5,FALSE)*AU$5*AU$6)</f>
        <v>7645.6140557003937</v>
      </c>
      <c r="AV14" s="93">
        <f>AV13*(1-VLOOKUP(AV$7+$B13-1,'Mortality tables'!$A$5:$E$125,5,FALSE))</f>
        <v>0.98745507568742752</v>
      </c>
      <c r="AW14" s="54">
        <f>IF($B14&gt;Parameters!$B$19,0,AV14*VLOOKUP(AV$7+$B14-1,'Mortality tables'!$A$5:$E$125,5,FALSE)*AW$5*AW$6)</f>
        <v>66475.475695277622</v>
      </c>
      <c r="AX14" s="93">
        <f>AX13*(1-VLOOKUP(AX$7+$B13-1,'Mortality tables'!$A$5:$E$125,5,FALSE))</f>
        <v>0.98198865936558277</v>
      </c>
      <c r="AY14" s="54">
        <f>IF($B14&gt;Parameters!$B$19,0,AX14*VLOOKUP(AX$7+$B14-1,'Mortality tables'!$A$5:$E$125,5,FALSE)*AY$5*AY$6)</f>
        <v>107838.26301462272</v>
      </c>
      <c r="AZ14" s="93">
        <f>AZ13*(1-VLOOKUP(AZ$7+$B13-1,'Mortality tables'!$A$5:$E$125,5,FALSE))</f>
        <v>0.9745455242997012</v>
      </c>
      <c r="BA14" s="54">
        <f>IF($B14&gt;Parameters!$B$19,0,AZ14*VLOOKUP(AZ$7+$B14-1,'Mortality tables'!$A$5:$E$125,5,FALSE)*BA$5*BA$6)</f>
        <v>6253.3077930424342</v>
      </c>
      <c r="BB14" s="93">
        <f>BB13*(1-VLOOKUP(BB$7+$B13-1,'Mortality tables'!$A$5:$E$125,5,FALSE))</f>
        <v>0.96539441058477637</v>
      </c>
      <c r="BC14" s="54">
        <f>IF($B14&gt;Parameters!$B$19,0,BB14*VLOOKUP(BB$7+$B14-1,'Mortality tables'!$A$5:$E$125,5,FALSE)*BC$5*BC$6)</f>
        <v>1698.032228777563</v>
      </c>
      <c r="BD14" s="92">
        <f>AA14*(1+Parameters!$B$54)</f>
        <v>12375.000000000002</v>
      </c>
      <c r="BE14" s="63">
        <f t="shared" si="3"/>
        <v>759333.94726586284</v>
      </c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5"/>
    </row>
    <row r="15" spans="1:76">
      <c r="A15" s="57">
        <f t="shared" si="0"/>
        <v>2029</v>
      </c>
      <c r="B15" s="30">
        <f>A15-Parameters!$B$18+1</f>
        <v>8</v>
      </c>
      <c r="C15" s="93">
        <f>C14*(1-VLOOKUP(C$7+$B14-1,'Mortality tables'!$A$5:$E$125,2,FALSE))</f>
        <v>0.99327047835145954</v>
      </c>
      <c r="D15" s="37">
        <f>IF($B15&gt;Parameters!$B$19,0,C15*VLOOKUP(C$7+$B15-1,'Mortality tables'!$A$5:$B$125,2,FALSE)*D$5*D$6)</f>
        <v>3236.0752184690555</v>
      </c>
      <c r="E15" s="93">
        <f>E14*(1-VLOOKUP(E$7+$B14-1,'Mortality tables'!$A$5:$E$125,2,FALSE))</f>
        <v>0.99211773639027168</v>
      </c>
      <c r="F15" s="37">
        <f>IF($B15&gt;Parameters!$B$19,0,E15*VLOOKUP(E$7+$B15-1,'Mortality tables'!$A$5:$B$125,2,FALSE)*F$5*F$6)</f>
        <v>786.3525178629294</v>
      </c>
      <c r="G15" s="93">
        <f>G14*(1-VLOOKUP(G$7+$B14-1,'Mortality tables'!$A$5:$E$125,2,FALSE))</f>
        <v>0.99004264941726061</v>
      </c>
      <c r="H15" s="37">
        <f>IF($B15&gt;Parameters!$B$19,0,G15*VLOOKUP(G$7+$B15-1,'Mortality tables'!$A$5:$B$125,2,FALSE)*H$5*H$6)</f>
        <v>1390.7624117688968</v>
      </c>
      <c r="I15" s="93">
        <f>I14*(1-VLOOKUP(I$7+$B14-1,'Mortality tables'!$A$5:$E$125,2,FALSE))</f>
        <v>0.98545896495564611</v>
      </c>
      <c r="J15" s="37">
        <f>IF($B15&gt;Parameters!$B$19,0,I15*VLOOKUP(I$7+$B15-1,'Mortality tables'!$A$5:$B$125,2,FALSE)*J$5*J$6)</f>
        <v>117782.05549149883</v>
      </c>
      <c r="K15" s="93">
        <f>K14*(1-VLOOKUP(K$7+$B14-1,'Mortality tables'!$A$5:$E$125,2,FALSE))</f>
        <v>0.97652107042235825</v>
      </c>
      <c r="L15" s="37">
        <f>IF($B15&gt;Parameters!$B$19,0,K15*VLOOKUP(K$7+$B15-1,'Mortality tables'!$A$5:$B$125,2,FALSE)*L$5*L$6)</f>
        <v>196202.61346926019</v>
      </c>
      <c r="M15" s="93">
        <f>M14*(1-VLOOKUP(M$7+$B14-1,'Mortality tables'!$A$5:$E$125,2,FALSE))</f>
        <v>0.96088331312892028</v>
      </c>
      <c r="N15" s="37">
        <f>IF($B15&gt;Parameters!$B$19,0,M15*VLOOKUP(M$7+$B15-1,'Mortality tables'!$A$5:$B$125,2,FALSE)*N$5*N$6)</f>
        <v>192122.85316024887</v>
      </c>
      <c r="O15" s="93">
        <f>O14*(1-VLOOKUP(O$7+$A15-Parameters!$B$18-1,'Mortality tables'!$A$5:$E$125,3,FALSE))</f>
        <v>0.99429492512755224</v>
      </c>
      <c r="P15" s="41">
        <f>IF($B15&gt;Parameters!$B$19,0,O15*VLOOKUP(O$7+$B15-1,'Mortality tables'!$A$5:$C$125,3,FALSE)*P$5*P$6)</f>
        <v>1140.4562791213025</v>
      </c>
      <c r="Q15" s="93">
        <f>Q14*(1-VLOOKUP(Q$7+$A15-Parameters!$B$18-1,'Mortality tables'!$A$5:$E$125,3,FALSE))</f>
        <v>0.99126474052818669</v>
      </c>
      <c r="R15" s="37">
        <f>IF($B15&gt;Parameters!$B$19,0,Q15*VLOOKUP(Q$7+$B15-1,'Mortality tables'!$A$5:$C$125,3,FALSE)*R$5*R$6)</f>
        <v>6849.0198165869397</v>
      </c>
      <c r="S15" s="93">
        <f>S14*(1-VLOOKUP(S$7+$A15-Parameters!$B$18-1,'Mortality tables'!$A$5:$E$125,3,FALSE))</f>
        <v>0.98731624773103022</v>
      </c>
      <c r="T15" s="37">
        <f>IF($B15&gt;Parameters!$B$19,0,S15*VLOOKUP(S$7+'TA projections'!$A15-Parameters!$B$18,'Mortality tables'!$A$5:$C$125,3,FALSE)*T$5*T$6)</f>
        <v>59584.535550567663</v>
      </c>
      <c r="U15" s="93">
        <f>U14*(1-VLOOKUP(U$7+$A15-Parameters!$B$18-1,'Mortality tables'!$A$5:$E$125,3,FALSE))</f>
        <v>0.98180894367714766</v>
      </c>
      <c r="V15" s="37">
        <f>IF($B15&gt;Parameters!$B$19,0,U15*VLOOKUP(U$7+'TA projections'!$A15-Parameters!$B$18,'Mortality tables'!$A$5:$C$125,3,FALSE)*V$5*V$6)</f>
        <v>96228.567283212775</v>
      </c>
      <c r="W15" s="93">
        <f>W14*(1-VLOOKUP(W$7+$A15-Parameters!$B$18-1,'Mortality tables'!$A$5:$E$125,3,FALSE))</f>
        <v>0.97438881688536483</v>
      </c>
      <c r="X15" s="37">
        <f>IF($B15&gt;Parameters!$B$19,0,W15*VLOOKUP(W$7+'TA projections'!$A15-Parameters!$B$18,'Mortality tables'!$A$5:$C$125,3,FALSE)*X$5*X$6)</f>
        <v>5531.8001912215932</v>
      </c>
      <c r="Y15" s="93">
        <f>Y14*(1-VLOOKUP(Y$7+$A15-Parameters!$B$18-1,'Mortality tables'!$A$5:$E$125,3,FALSE))</f>
        <v>0.96539828713830567</v>
      </c>
      <c r="Z15" s="37">
        <f>IF($B15&gt;Parameters!$B$19,0,Y15*VLOOKUP(Y$7+'TA projections'!$A15-Parameters!$B$18,'Mortality tables'!$A$5:$C$125,3,FALSE)*Z$5*Z$6)</f>
        <v>1482.3690699008685</v>
      </c>
      <c r="AA15" s="92">
        <f>IF(B15&gt;Parameters!$B$19,0,SUM(Parameters!$C$5:$C$16)*Parameters!$B$46)</f>
        <v>11250</v>
      </c>
      <c r="AB15" s="63">
        <f t="shared" si="1"/>
        <v>693587.46045971988</v>
      </c>
      <c r="AD15" s="57">
        <f t="shared" si="2"/>
        <v>2029</v>
      </c>
      <c r="AE15" s="30">
        <f>AD15-Parameters!$B$18+1</f>
        <v>8</v>
      </c>
      <c r="AF15" s="93">
        <f>AF14*(1-VLOOKUP(AF$7+$B14-1,'Mortality tables'!$A$5:$E$125,4,FALSE))</f>
        <v>0.99192923982684467</v>
      </c>
      <c r="AG15" s="37">
        <f>IF($B15&gt;Parameters!$B$19,0,AF15*VLOOKUP(AF$7+$B15-1,'Mortality tables'!$A$5:$E$125,4,FALSE)*AG$5*AG$6)</f>
        <v>3878.0465560270318</v>
      </c>
      <c r="AH15" s="93">
        <f>AH14*(1-VLOOKUP(AH$7+$B14-1,'Mortality tables'!$A$5:$E$125,4,FALSE))</f>
        <v>0.99054768593381859</v>
      </c>
      <c r="AI15" s="37">
        <f>IF($B15&gt;Parameters!$B$19,0,AH15*VLOOKUP(AH$7+$B15-1,'Mortality tables'!$A$5:$E$125,4,FALSE)*AI$5*AI$6)</f>
        <v>942.12971504537347</v>
      </c>
      <c r="AJ15" s="93">
        <f>AJ14*(1-VLOOKUP(AJ$7+$B14-1,'Mortality tables'!$A$5:$E$125,4,FALSE))</f>
        <v>0.98806138608186755</v>
      </c>
      <c r="AK15" s="37">
        <f>IF($B15&gt;Parameters!$B$19,0,AJ15*VLOOKUP(AJ$7+$B15-1,'Mortality tables'!$A$5:$E$125,4,FALSE)*AK$5*AK$6)</f>
        <v>1665.5750785182045</v>
      </c>
      <c r="AL15" s="93">
        <f>AL14*(1-VLOOKUP(AL$7+$B14-1,'Mortality tables'!$A$5:$E$125,4,FALSE))</f>
        <v>0.98257249930740365</v>
      </c>
      <c r="AM15" s="37">
        <f>IF($B15&gt;Parameters!$B$19,0,AL15*VLOOKUP(AL$7+$B15-1,'Mortality tables'!$A$5:$E$125,4,FALSE)*AM$5*AM$6)</f>
        <v>140924.47814066507</v>
      </c>
      <c r="AN15" s="93">
        <f>AN14*(1-VLOOKUP(AN$7+$B14-1,'Mortality tables'!$A$5:$E$125,4,FALSE))</f>
        <v>0.97188204024076841</v>
      </c>
      <c r="AO15" s="37">
        <f>IF($B15&gt;Parameters!$B$19,0,AN15*VLOOKUP(AN$7+$B15-1,'Mortality tables'!$A$5:$E$125,4,FALSE)*AO$5*AO$6)</f>
        <v>234324.64743021023</v>
      </c>
      <c r="AP15" s="93">
        <f>AP14*(1-VLOOKUP(AP$7+$B14-1,'Mortality tables'!$A$5:$E$125,4,FALSE))</f>
        <v>0.95321834118379056</v>
      </c>
      <c r="AQ15" s="37">
        <f>IF($B15&gt;Parameters!$B$19,0,AP15*VLOOKUP(AP$7+$B15-1,'Mortality tables'!$A$5:$E$125,4,FALSE)*AQ$5*AQ$6)</f>
        <v>228708.34561158219</v>
      </c>
      <c r="AR15" s="93">
        <f>AR14*(1-VLOOKUP(AR$7+$B14-1,'Mortality tables'!$A$5:$E$125,5,FALSE))</f>
        <v>0.99315724678213868</v>
      </c>
      <c r="AS15" s="41">
        <f>IF($B15&gt;Parameters!$B$19,0,AR15*VLOOKUP(AR$7+$B15-1,'Mortality tables'!$A$5:$E$125,5,FALSE)*AS$5*AS$6)</f>
        <v>1366.9816344709359</v>
      </c>
      <c r="AT15" s="93">
        <f>AT14*(1-VLOOKUP(AT$7+$B14-1,'Mortality tables'!$A$5:$E$125,5,FALSE))</f>
        <v>0.98952552685544226</v>
      </c>
      <c r="AU15" s="54">
        <f>IF($B15&gt;Parameters!$B$19,0,AT15*VLOOKUP(AT$7+$B15-1,'Mortality tables'!$A$5:$E$125,5,FALSE)*AU$5*AU$6)</f>
        <v>8204.4035245401865</v>
      </c>
      <c r="AV15" s="93">
        <f>AV14*(1-VLOOKUP(AV$7+$B14-1,'Mortality tables'!$A$5:$E$125,5,FALSE))</f>
        <v>0.98479605665961634</v>
      </c>
      <c r="AW15" s="54">
        <f>IF($B15&gt;Parameters!$B$19,0,AV15*VLOOKUP(AV$7+$B15-1,'Mortality tables'!$A$5:$E$125,5,FALSE)*AW$5*AW$6)</f>
        <v>71318.930423289421</v>
      </c>
      <c r="AX15" s="93">
        <f>AX14*(1-VLOOKUP(AX$7+$B14-1,'Mortality tables'!$A$5:$E$125,5,FALSE))</f>
        <v>0.97820486066331536</v>
      </c>
      <c r="AY15" s="54">
        <f>IF($B15&gt;Parameters!$B$19,0,AX15*VLOOKUP(AX$7+$B15-1,'Mortality tables'!$A$5:$E$125,5,FALSE)*AY$5*AY$6)</f>
        <v>115050.39084108303</v>
      </c>
      <c r="AZ15" s="93">
        <f>AZ14*(1-VLOOKUP(AZ$7+$B14-1,'Mortality tables'!$A$5:$E$125,5,FALSE))</f>
        <v>0.96933443447216583</v>
      </c>
      <c r="BA15" s="54">
        <f>IF($B15&gt;Parameters!$B$19,0,AZ15*VLOOKUP(AZ$7+$B15-1,'Mortality tables'!$A$5:$E$125,5,FALSE)*BA$5*BA$6)</f>
        <v>6603.726541662455</v>
      </c>
      <c r="BB15" s="93">
        <f>BB14*(1-VLOOKUP(BB$7+$B14-1,'Mortality tables'!$A$5:$E$125,5,FALSE))</f>
        <v>0.9586022816696661</v>
      </c>
      <c r="BC15" s="54">
        <f>IF($B15&gt;Parameters!$B$19,0,BB15*VLOOKUP(BB$7+$B15-1,'Mortality tables'!$A$5:$E$125,5,FALSE)*BC$5*BC$6)</f>
        <v>1766.3205642045266</v>
      </c>
      <c r="BD15" s="92">
        <f>AA15*(1+Parameters!$B$54)</f>
        <v>12375.000000000002</v>
      </c>
      <c r="BE15" s="63">
        <f t="shared" si="3"/>
        <v>827128.97606129863</v>
      </c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5"/>
    </row>
    <row r="16" spans="1:76">
      <c r="A16" s="57">
        <f t="shared" si="0"/>
        <v>2030</v>
      </c>
      <c r="B16" s="30">
        <f>A16-Parameters!$B$18+1</f>
        <v>9</v>
      </c>
      <c r="C16" s="93">
        <f>C15*(1-VLOOKUP(C$7+$B15-1,'Mortality tables'!$A$5:$E$125,2,FALSE))</f>
        <v>0.99219178661196983</v>
      </c>
      <c r="D16" s="37">
        <f>IF($B16&gt;Parameters!$B$19,0,C16*VLOOKUP(C$7+$B16-1,'Mortality tables'!$A$5:$B$125,2,FALSE)*D$5*D$6)</f>
        <v>3330.7878276563824</v>
      </c>
      <c r="E16" s="93">
        <f>E15*(1-VLOOKUP(E$7+$B15-1,'Mortality tables'!$A$5:$E$125,2,FALSE))</f>
        <v>0.99080714886050014</v>
      </c>
      <c r="F16" s="37">
        <f>IF($B16&gt;Parameters!$B$19,0,E16*VLOOKUP(E$7+$B16-1,'Mortality tables'!$A$5:$B$125,2,FALSE)*F$5*F$6)</f>
        <v>831.68352075350379</v>
      </c>
      <c r="G16" s="93">
        <f>G15*(1-VLOOKUP(G$7+$B15-1,'Mortality tables'!$A$5:$E$125,2,FALSE))</f>
        <v>0.98818829953490206</v>
      </c>
      <c r="H16" s="37">
        <f>IF($B16&gt;Parameters!$B$19,0,G16*VLOOKUP(G$7+$B16-1,'Mortality tables'!$A$5:$B$125,2,FALSE)*H$5*H$6)</f>
        <v>1512.6692395130513</v>
      </c>
      <c r="I16" s="93">
        <f>I15*(1-VLOOKUP(I$7+$B15-1,'Mortality tables'!$A$5:$E$125,2,FALSE))</f>
        <v>0.98251441356835867</v>
      </c>
      <c r="J16" s="37">
        <f>IF($B16&gt;Parameters!$B$19,0,I16*VLOOKUP(I$7+$B16-1,'Mortality tables'!$A$5:$B$125,2,FALSE)*J$5*J$6)</f>
        <v>130006.30720336521</v>
      </c>
      <c r="K16" s="93">
        <f>K15*(1-VLOOKUP(K$7+$B15-1,'Mortality tables'!$A$5:$E$125,2,FALSE))</f>
        <v>0.97161600508562673</v>
      </c>
      <c r="L16" s="37">
        <f>IF($B16&gt;Parameters!$B$19,0,K16*VLOOKUP(K$7+$B16-1,'Mortality tables'!$A$5:$B$125,2,FALSE)*L$5*L$6)</f>
        <v>216709.23377429819</v>
      </c>
      <c r="M16" s="93">
        <f>M15*(1-VLOOKUP(M$7+$B15-1,'Mortality tables'!$A$5:$E$125,2,FALSE))</f>
        <v>0.95287819424724329</v>
      </c>
      <c r="N16" s="37">
        <f>IF($B16&gt;Parameters!$B$19,0,M16*VLOOKUP(M$7+$B16-1,'Mortality tables'!$A$5:$B$125,2,FALSE)*N$5*N$6)</f>
        <v>209252.05145669461</v>
      </c>
      <c r="O16" s="93">
        <f>O15*(1-VLOOKUP(O$7+$A16-Parameters!$B$18-1,'Mortality tables'!$A$5:$E$125,3,FALSE))</f>
        <v>0.99315446884843095</v>
      </c>
      <c r="P16" s="41">
        <f>IF($B16&gt;Parameters!$B$19,0,O16*VLOOKUP(O$7+$B16-1,'Mortality tables'!$A$5:$C$125,3,FALSE)*P$5*P$6)</f>
        <v>1245.4157039359322</v>
      </c>
      <c r="Q16" s="93">
        <f>Q15*(1-VLOOKUP(Q$7+$A16-Parameters!$B$18-1,'Mortality tables'!$A$5:$E$125,3,FALSE))</f>
        <v>0.98960437208780205</v>
      </c>
      <c r="R16" s="37">
        <f>IF($B16&gt;Parameters!$B$19,0,Q16*VLOOKUP(Q$7+$B16-1,'Mortality tables'!$A$5:$C$125,3,FALSE)*R$5*R$6)</f>
        <v>7355.9766988216552</v>
      </c>
      <c r="S16" s="93">
        <f>S15*(1-VLOOKUP(S$7+$A16-Parameters!$B$18-1,'Mortality tables'!$A$5:$E$125,3,FALSE))</f>
        <v>0.98493286630900745</v>
      </c>
      <c r="T16" s="37">
        <f>IF($B16&gt;Parameters!$B$19,0,S16*VLOOKUP(S$7+'TA projections'!$A16-Parameters!$B$18,'Mortality tables'!$A$5:$C$125,3,FALSE)*T$5*T$6)</f>
        <v>63922.14302345457</v>
      </c>
      <c r="U16" s="93">
        <f>U15*(1-VLOOKUP(U$7+$A16-Parameters!$B$18-1,'Mortality tables'!$A$5:$E$125,3,FALSE))</f>
        <v>0.97843250271984195</v>
      </c>
      <c r="V16" s="37">
        <f>IF($B16&gt;Parameters!$B$19,0,U16*VLOOKUP(U$7+'TA projections'!$A16-Parameters!$B$18,'Mortality tables'!$A$5:$C$125,3,FALSE)*V$5*V$6)</f>
        <v>102590.11555892952</v>
      </c>
      <c r="W16" s="93">
        <f>W15*(1-VLOOKUP(W$7+$A16-Parameters!$B$18-1,'Mortality tables'!$A$5:$E$125,3,FALSE))</f>
        <v>0.96977898339268009</v>
      </c>
      <c r="X16" s="37">
        <f>IF($B16&gt;Parameters!$B$19,0,W16*VLOOKUP(W$7+'TA projections'!$A16-Parameters!$B$18,'Mortality tables'!$A$5:$C$125,3,FALSE)*X$5*X$6)</f>
        <v>5832.6387177169345</v>
      </c>
      <c r="Y16" s="93">
        <f>Y15*(1-VLOOKUP(Y$7+$A16-Parameters!$B$18-1,'Mortality tables'!$A$5:$E$125,3,FALSE))</f>
        <v>0.95946881085870217</v>
      </c>
      <c r="Z16" s="37">
        <f>IF($B16&gt;Parameters!$B$19,0,Y16*VLOOKUP(Y$7+'TA projections'!$A16-Parameters!$B$18,'Mortality tables'!$A$5:$C$125,3,FALSE)*Z$5*Z$6)</f>
        <v>1538.2683710092142</v>
      </c>
      <c r="AA16" s="92">
        <f>IF(B16&gt;Parameters!$B$19,0,SUM(Parameters!$C$5:$C$16)*Parameters!$B$46)</f>
        <v>11250</v>
      </c>
      <c r="AB16" s="63">
        <f t="shared" si="1"/>
        <v>755377.29109614878</v>
      </c>
      <c r="AD16" s="57">
        <f t="shared" si="2"/>
        <v>2030</v>
      </c>
      <c r="AE16" s="30">
        <f>AD16-Parameters!$B$18+1</f>
        <v>9</v>
      </c>
      <c r="AF16" s="93">
        <f>AF15*(1-VLOOKUP(AF$7+$B15-1,'Mortality tables'!$A$5:$E$125,4,FALSE))</f>
        <v>0.99063655764150238</v>
      </c>
      <c r="AG16" s="37">
        <f>IF($B16&gt;Parameters!$B$19,0,AF16*VLOOKUP(AF$7+$B16-1,'Mortality tables'!$A$5:$E$125,4,FALSE)*AG$5*AG$6)</f>
        <v>3990.6803088030283</v>
      </c>
      <c r="AH16" s="93">
        <f>AH15*(1-VLOOKUP(AH$7+$B15-1,'Mortality tables'!$A$5:$E$125,4,FALSE))</f>
        <v>0.98897746974207634</v>
      </c>
      <c r="AI16" s="37">
        <f>IF($B16&gt;Parameters!$B$19,0,AH16*VLOOKUP(AH$7+$B16-1,'Mortality tables'!$A$5:$E$125,4,FALSE)*AI$5*AI$6)</f>
        <v>996.17722572179866</v>
      </c>
      <c r="AJ16" s="93">
        <f>AJ15*(1-VLOOKUP(AJ$7+$B15-1,'Mortality tables'!$A$5:$E$125,4,FALSE))</f>
        <v>0.98584061931050992</v>
      </c>
      <c r="AK16" s="37">
        <f>IF($B16&gt;Parameters!$B$19,0,AJ16*VLOOKUP(AJ$7+$B16-1,'Mortality tables'!$A$5:$E$125,4,FALSE)*AK$5*AK$6)</f>
        <v>1810.8906336114758</v>
      </c>
      <c r="AL16" s="93">
        <f>AL15*(1-VLOOKUP(AL$7+$B15-1,'Mortality tables'!$A$5:$E$125,4,FALSE))</f>
        <v>0.97904938735388702</v>
      </c>
      <c r="AM16" s="37">
        <f>IF($B16&gt;Parameters!$B$19,0,AL16*VLOOKUP(AL$7+$B16-1,'Mortality tables'!$A$5:$E$125,4,FALSE)*AM$5*AM$6)</f>
        <v>155457.3779215996</v>
      </c>
      <c r="AN16" s="93">
        <f>AN15*(1-VLOOKUP(AN$7+$B15-1,'Mortality tables'!$A$5:$E$125,4,FALSE))</f>
        <v>0.96602392405501314</v>
      </c>
      <c r="AO16" s="37">
        <f>IF($B16&gt;Parameters!$B$19,0,AN16*VLOOKUP(AN$7+$B16-1,'Mortality tables'!$A$5:$E$125,4,FALSE)*AO$5*AO$6)</f>
        <v>258554.37122547618</v>
      </c>
      <c r="AP16" s="93">
        <f>AP15*(1-VLOOKUP(AP$7+$B15-1,'Mortality tables'!$A$5:$E$125,4,FALSE))</f>
        <v>0.9436888267833079</v>
      </c>
      <c r="AQ16" s="37">
        <f>IF($B16&gt;Parameters!$B$19,0,AP16*VLOOKUP(AP$7+$B16-1,'Mortality tables'!$A$5:$E$125,4,FALSE)*AQ$5*AQ$6)</f>
        <v>248680.87963393732</v>
      </c>
      <c r="AR16" s="93">
        <f>AR15*(1-VLOOKUP(AR$7+$B15-1,'Mortality tables'!$A$5:$E$125,5,FALSE))</f>
        <v>0.99179026514766766</v>
      </c>
      <c r="AS16" s="41">
        <f>IF($B16&gt;Parameters!$B$19,0,AR16*VLOOKUP(AR$7+$B16-1,'Mortality tables'!$A$5:$E$125,5,FALSE)*AS$5*AS$6)</f>
        <v>1492.4459909942104</v>
      </c>
      <c r="AT16" s="93">
        <f>AT15*(1-VLOOKUP(AT$7+$B15-1,'Mortality tables'!$A$5:$E$125,5,FALSE))</f>
        <v>0.98753658054646287</v>
      </c>
      <c r="AU16" s="54">
        <f>IF($B16&gt;Parameters!$B$19,0,AT16*VLOOKUP(AT$7+$B16-1,'Mortality tables'!$A$5:$E$125,5,FALSE)*AU$5*AU$6)</f>
        <v>8808.7275448163928</v>
      </c>
      <c r="AV16" s="93">
        <f>AV15*(1-VLOOKUP(AV$7+$B15-1,'Mortality tables'!$A$5:$E$125,5,FALSE))</f>
        <v>0.98194329944268477</v>
      </c>
      <c r="AW16" s="54">
        <f>IF($B16&gt;Parameters!$B$19,0,AV16*VLOOKUP(AV$7+$B16-1,'Mortality tables'!$A$5:$E$125,5,FALSE)*AW$5*AW$6)</f>
        <v>76473.744160596296</v>
      </c>
      <c r="AX16" s="93">
        <f>AX15*(1-VLOOKUP(AX$7+$B15-1,'Mortality tables'!$A$5:$E$125,5,FALSE))</f>
        <v>0.97416800484432997</v>
      </c>
      <c r="AY16" s="54">
        <f>IF($B16&gt;Parameters!$B$19,0,AX16*VLOOKUP(AX$7+$B16-1,'Mortality tables'!$A$5:$E$125,5,FALSE)*AY$5*AY$6)</f>
        <v>122571.57187192231</v>
      </c>
      <c r="AZ16" s="93">
        <f>AZ15*(1-VLOOKUP(AZ$7+$B15-1,'Mortality tables'!$A$5:$E$125,5,FALSE))</f>
        <v>0.96383132902078039</v>
      </c>
      <c r="BA16" s="54">
        <f>IF($B16&gt;Parameters!$B$19,0,AZ16*VLOOKUP(AZ$7+$B16-1,'Mortality tables'!$A$5:$E$125,5,FALSE)*BA$5*BA$6)</f>
        <v>6956.2405743150975</v>
      </c>
      <c r="BB16" s="93">
        <f>BB15*(1-VLOOKUP(BB$7+$B15-1,'Mortality tables'!$A$5:$E$125,5,FALSE))</f>
        <v>0.95153699941284797</v>
      </c>
      <c r="BC16" s="54">
        <f>IF($B16&gt;Parameters!$B$19,0,BB16*VLOOKUP(BB$7+$B16-1,'Mortality tables'!$A$5:$E$125,5,FALSE)*BC$5*BC$6)</f>
        <v>1830.6620331703784</v>
      </c>
      <c r="BD16" s="92">
        <f>AA16*(1+Parameters!$B$54)</f>
        <v>12375.000000000002</v>
      </c>
      <c r="BE16" s="63">
        <f t="shared" si="3"/>
        <v>899998.76912496414</v>
      </c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5"/>
    </row>
    <row r="17" spans="1:72">
      <c r="A17" s="57">
        <f t="shared" si="0"/>
        <v>2031</v>
      </c>
      <c r="B17" s="30">
        <f>A17-Parameters!$B$18+1</f>
        <v>10</v>
      </c>
      <c r="C17" s="93">
        <f>C16*(1-VLOOKUP(C$7+$B16-1,'Mortality tables'!$A$5:$E$125,2,FALSE))</f>
        <v>0.99108152400275107</v>
      </c>
      <c r="D17" s="37">
        <f>IF($B17&gt;Parameters!$B$19,0,C17*VLOOKUP(C$7+$B17-1,'Mortality tables'!$A$5:$B$125,2,FALSE)*D$5*D$6)</f>
        <v>3466.803170961623</v>
      </c>
      <c r="E17" s="93">
        <f>E16*(1-VLOOKUP(E$7+$B16-1,'Mortality tables'!$A$5:$E$125,2,FALSE))</f>
        <v>0.98942100965924429</v>
      </c>
      <c r="F17" s="37">
        <f>IF($B17&gt;Parameters!$B$19,0,E17*VLOOKUP(E$7+$B17-1,'Mortality tables'!$A$5:$B$125,2,FALSE)*F$5*F$6)</f>
        <v>885.13603524116002</v>
      </c>
      <c r="G17" s="93">
        <f>G16*(1-VLOOKUP(G$7+$B16-1,'Mortality tables'!$A$5:$E$125,2,FALSE))</f>
        <v>0.98617140721555141</v>
      </c>
      <c r="H17" s="37">
        <f>IF($B17&gt;Parameters!$B$19,0,G17*VLOOKUP(G$7+$B17-1,'Mortality tables'!$A$5:$B$125,2,FALSE)*H$5*H$6)</f>
        <v>1652.3301927896562</v>
      </c>
      <c r="I17" s="93">
        <f>I16*(1-VLOOKUP(I$7+$B16-1,'Mortality tables'!$A$5:$E$125,2,FALSE))</f>
        <v>0.97926425588827459</v>
      </c>
      <c r="J17" s="37">
        <f>IF($B17&gt;Parameters!$B$19,0,I17*VLOOKUP(I$7+$B17-1,'Mortality tables'!$A$5:$B$125,2,FALSE)*J$5*J$6)</f>
        <v>143677.65162392764</v>
      </c>
      <c r="K17" s="93">
        <f>K16*(1-VLOOKUP(K$7+$B16-1,'Mortality tables'!$A$5:$E$125,2,FALSE))</f>
        <v>0.96619827424126925</v>
      </c>
      <c r="L17" s="37">
        <f>IF($B17&gt;Parameters!$B$19,0,K17*VLOOKUP(K$7+$B17-1,'Mortality tables'!$A$5:$B$125,2,FALSE)*L$5*L$6)</f>
        <v>238960.15718535072</v>
      </c>
      <c r="M17" s="93">
        <f>M16*(1-VLOOKUP(M$7+$B16-1,'Mortality tables'!$A$5:$E$125,2,FALSE))</f>
        <v>0.944159358769881</v>
      </c>
      <c r="N17" s="37">
        <f>IF($B17&gt;Parameters!$B$19,0,M17*VLOOKUP(M$7+$B17-1,'Mortality tables'!$A$5:$B$125,2,FALSE)*N$5*N$6)</f>
        <v>226870.16400009717</v>
      </c>
      <c r="O17" s="93">
        <f>O16*(1-VLOOKUP(O$7+$A17-Parameters!$B$18-1,'Mortality tables'!$A$5:$E$125,3,FALSE))</f>
        <v>0.99190905314449507</v>
      </c>
      <c r="P17" s="41">
        <f>IF($B17&gt;Parameters!$B$19,0,O17*VLOOKUP(O$7+$B17-1,'Mortality tables'!$A$5:$C$125,3,FALSE)*P$5*P$6)</f>
        <v>1337.0934036387796</v>
      </c>
      <c r="Q17" s="93">
        <f>Q16*(1-VLOOKUP(Q$7+$A17-Parameters!$B$18-1,'Mortality tables'!$A$5:$E$125,3,FALSE))</f>
        <v>0.98782110500929987</v>
      </c>
      <c r="R17" s="37">
        <f>IF($B17&gt;Parameters!$B$19,0,Q17*VLOOKUP(Q$7+$B17-1,'Mortality tables'!$A$5:$C$125,3,FALSE)*R$5*R$6)</f>
        <v>7896.8888687205954</v>
      </c>
      <c r="S17" s="93">
        <f>S16*(1-VLOOKUP(S$7+$A17-Parameters!$B$18-1,'Mortality tables'!$A$5:$E$125,3,FALSE))</f>
        <v>0.98237598058806919</v>
      </c>
      <c r="T17" s="37">
        <f>IF($B17&gt;Parameters!$B$19,0,S17*VLOOKUP(S$7+'TA projections'!$A17-Parameters!$B$18,'Mortality tables'!$A$5:$C$125,3,FALSE)*T$5*T$6)</f>
        <v>68496.165246503122</v>
      </c>
      <c r="U17" s="93">
        <f>U16*(1-VLOOKUP(U$7+$A17-Parameters!$B$18-1,'Mortality tables'!$A$5:$E$125,3,FALSE))</f>
        <v>0.97483284954233562</v>
      </c>
      <c r="V17" s="37">
        <f>IF($B17&gt;Parameters!$B$19,0,U17*VLOOKUP(U$7+'TA projections'!$A17-Parameters!$B$18,'Mortality tables'!$A$5:$C$125,3,FALSE)*V$5*V$6)</f>
        <v>109158.37057677735</v>
      </c>
      <c r="W17" s="93">
        <f>W16*(1-VLOOKUP(W$7+$A17-Parameters!$B$18-1,'Mortality tables'!$A$5:$E$125,3,FALSE))</f>
        <v>0.96491845112791597</v>
      </c>
      <c r="X17" s="37">
        <f>IF($B17&gt;Parameters!$B$19,0,W17*VLOOKUP(W$7+'TA projections'!$A17-Parameters!$B$18,'Mortality tables'!$A$5:$C$125,3,FALSE)*X$5*X$6)</f>
        <v>6131.0918384667775</v>
      </c>
      <c r="Y17" s="93">
        <f>Y16*(1-VLOOKUP(Y$7+$A17-Parameters!$B$18-1,'Mortality tables'!$A$5:$E$125,3,FALSE))</f>
        <v>0.95331573737466535</v>
      </c>
      <c r="Z17" s="37">
        <f>IF($B17&gt;Parameters!$B$19,0,Y17*VLOOKUP(Y$7+'TA projections'!$A17-Parameters!$B$18,'Mortality tables'!$A$5:$C$125,3,FALSE)*Z$5*Z$6)</f>
        <v>1590.1306499409418</v>
      </c>
      <c r="AA17" s="92">
        <f>IF(B17&gt;Parameters!$B$19,0,SUM(Parameters!$C$5:$C$16)*Parameters!$B$46)</f>
        <v>11250</v>
      </c>
      <c r="AB17" s="63">
        <f t="shared" si="1"/>
        <v>821371.98279241566</v>
      </c>
      <c r="AD17" s="57">
        <f t="shared" si="2"/>
        <v>2031</v>
      </c>
      <c r="AE17" s="30">
        <f>AD17-Parameters!$B$18+1</f>
        <v>10</v>
      </c>
      <c r="AF17" s="93">
        <f>AF16*(1-VLOOKUP(AF$7+$B16-1,'Mortality tables'!$A$5:$E$125,4,FALSE))</f>
        <v>0.98930633087190134</v>
      </c>
      <c r="AG17" s="37">
        <f>IF($B17&gt;Parameters!$B$19,0,AF17*VLOOKUP(AF$7+$B17-1,'Mortality tables'!$A$5:$E$125,4,FALSE)*AG$5*AG$6)</f>
        <v>4152.7122544678923</v>
      </c>
      <c r="AH17" s="93">
        <f>AH16*(1-VLOOKUP(AH$7+$B16-1,'Mortality tables'!$A$5:$E$125,4,FALSE))</f>
        <v>0.98731717436587341</v>
      </c>
      <c r="AI17" s="37">
        <f>IF($B17&gt;Parameters!$B$19,0,AH17*VLOOKUP(AH$7+$B17-1,'Mortality tables'!$A$5:$E$125,4,FALSE)*AI$5*AI$6)</f>
        <v>1059.9047330252522</v>
      </c>
      <c r="AJ17" s="93">
        <f>AJ16*(1-VLOOKUP(AJ$7+$B16-1,'Mortality tables'!$A$5:$E$125,4,FALSE))</f>
        <v>0.98342609846569462</v>
      </c>
      <c r="AK17" s="37">
        <f>IF($B17&gt;Parameters!$B$19,0,AJ17*VLOOKUP(AJ$7+$B17-1,'Mortality tables'!$A$5:$E$125,4,FALSE)*AK$5*AK$6)</f>
        <v>1977.2765135751256</v>
      </c>
      <c r="AL17" s="93">
        <f>AL16*(1-VLOOKUP(AL$7+$B16-1,'Mortality tables'!$A$5:$E$125,4,FALSE))</f>
        <v>0.97516295290584698</v>
      </c>
      <c r="AM17" s="37">
        <f>IF($B17&gt;Parameters!$B$19,0,AL17*VLOOKUP(AL$7+$B17-1,'Mortality tables'!$A$5:$E$125,4,FALSE)*AM$5*AM$6)</f>
        <v>171691.09014041501</v>
      </c>
      <c r="AN17" s="93">
        <f>AN16*(1-VLOOKUP(AN$7+$B16-1,'Mortality tables'!$A$5:$E$125,4,FALSE))</f>
        <v>0.95956006477437628</v>
      </c>
      <c r="AO17" s="37">
        <f>IF($B17&gt;Parameters!$B$19,0,AN17*VLOOKUP(AN$7+$B17-1,'Mortality tables'!$A$5:$E$125,4,FALSE)*AO$5*AO$6)</f>
        <v>284782.07426399848</v>
      </c>
      <c r="AP17" s="93">
        <f>AP16*(1-VLOOKUP(AP$7+$B16-1,'Mortality tables'!$A$5:$E$125,4,FALSE))</f>
        <v>0.93332712346522717</v>
      </c>
      <c r="AQ17" s="37">
        <f>IF($B17&gt;Parameters!$B$19,0,AP17*VLOOKUP(AP$7+$B17-1,'Mortality tables'!$A$5:$E$125,4,FALSE)*AQ$5*AQ$6)</f>
        <v>269120.76941185497</v>
      </c>
      <c r="AR17" s="93">
        <f>AR16*(1-VLOOKUP(AR$7+$B16-1,'Mortality tables'!$A$5:$E$125,5,FALSE))</f>
        <v>0.99029781915667348</v>
      </c>
      <c r="AS17" s="41">
        <f>IF($B17&gt;Parameters!$B$19,0,AR17*VLOOKUP(AR$7+$B17-1,'Mortality tables'!$A$5:$E$125,5,FALSE)*AS$5*AS$6)</f>
        <v>1601.9057522678352</v>
      </c>
      <c r="AT17" s="93">
        <f>AT16*(1-VLOOKUP(AT$7+$B16-1,'Mortality tables'!$A$5:$E$125,5,FALSE))</f>
        <v>0.98540113144468922</v>
      </c>
      <c r="AU17" s="54">
        <f>IF($B17&gt;Parameters!$B$19,0,AT17*VLOOKUP(AT$7+$B17-1,'Mortality tables'!$A$5:$E$125,5,FALSE)*AU$5*AU$6)</f>
        <v>9453.051594062048</v>
      </c>
      <c r="AV17" s="93">
        <f>AV16*(1-VLOOKUP(AV$7+$B16-1,'Mortality tables'!$A$5:$E$125,5,FALSE))</f>
        <v>0.97888434967626092</v>
      </c>
      <c r="AW17" s="54">
        <f>IF($B17&gt;Parameters!$B$19,0,AV17*VLOOKUP(AV$7+$B17-1,'Mortality tables'!$A$5:$E$125,5,FALSE)*AW$5*AW$6)</f>
        <v>81903.253537412747</v>
      </c>
      <c r="AX17" s="93">
        <f>AX16*(1-VLOOKUP(AX$7+$B16-1,'Mortality tables'!$A$5:$E$125,5,FALSE))</f>
        <v>0.96986724793654322</v>
      </c>
      <c r="AY17" s="54">
        <f>IF($B17&gt;Parameters!$B$19,0,AX17*VLOOKUP(AX$7+$B17-1,'Mortality tables'!$A$5:$E$125,5,FALSE)*AY$5*AY$6)</f>
        <v>130322.8078662796</v>
      </c>
      <c r="AZ17" s="93">
        <f>AZ16*(1-VLOOKUP(AZ$7+$B16-1,'Mortality tables'!$A$5:$E$125,5,FALSE))</f>
        <v>0.95803446187551788</v>
      </c>
      <c r="BA17" s="54">
        <f>IF($B17&gt;Parameters!$B$19,0,AZ17*VLOOKUP(AZ$7+$B17-1,'Mortality tables'!$A$5:$E$125,5,FALSE)*BA$5*BA$6)</f>
        <v>7304.8211649084496</v>
      </c>
      <c r="BB17" s="93">
        <f>BB16*(1-VLOOKUP(BB$7+$B16-1,'Mortality tables'!$A$5:$E$125,5,FALSE))</f>
        <v>0.9442143512801664</v>
      </c>
      <c r="BC17" s="54">
        <f>IF($B17&gt;Parameters!$B$19,0,BB17*VLOOKUP(BB$7+$B17-1,'Mortality tables'!$A$5:$E$125,5,FALSE)*BC$5*BC$6)</f>
        <v>1889.9394455223812</v>
      </c>
      <c r="BD17" s="92">
        <f>AA17*(1+Parameters!$B$54)</f>
        <v>12375.000000000002</v>
      </c>
      <c r="BE17" s="63">
        <f t="shared" si="3"/>
        <v>977634.60667778982</v>
      </c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5"/>
    </row>
    <row r="18" spans="1:72">
      <c r="A18" s="57">
        <f t="shared" si="0"/>
        <v>2032</v>
      </c>
      <c r="B18" s="30">
        <f>A18-Parameters!$B$18+1</f>
        <v>11</v>
      </c>
      <c r="C18" s="93">
        <f>C17*(1-VLOOKUP(C$7+$B17-1,'Mortality tables'!$A$5:$E$125,2,FALSE))</f>
        <v>0.98992592294576387</v>
      </c>
      <c r="D18" s="37">
        <f>IF($B18&gt;Parameters!$B$19,0,C18*VLOOKUP(C$7+$B18-1,'Mortality tables'!$A$5:$B$125,2,FALSE)*D$5*D$6)</f>
        <v>3581.551989217774</v>
      </c>
      <c r="E18" s="93">
        <f>E17*(1-VLOOKUP(E$7+$B17-1,'Mortality tables'!$A$5:$E$125,2,FALSE))</f>
        <v>0.98794578293384239</v>
      </c>
      <c r="F18" s="37">
        <f>IF($B18&gt;Parameters!$B$19,0,E18*VLOOKUP(E$7+$B18-1,'Mortality tables'!$A$5:$B$125,2,FALSE)*F$5*F$6)</f>
        <v>948.42795161648871</v>
      </c>
      <c r="G18" s="93">
        <f>G17*(1-VLOOKUP(G$7+$B17-1,'Mortality tables'!$A$5:$E$125,2,FALSE))</f>
        <v>0.98396830029183191</v>
      </c>
      <c r="H18" s="37">
        <f>IF($B18&gt;Parameters!$B$19,0,G18*VLOOKUP(G$7+$B18-1,'Mortality tables'!$A$5:$B$125,2,FALSE)*H$5*H$6)</f>
        <v>1810.9936566871168</v>
      </c>
      <c r="I18" s="93">
        <f>I17*(1-VLOOKUP(I$7+$B17-1,'Mortality tables'!$A$5:$E$125,2,FALSE))</f>
        <v>0.97567231459767645</v>
      </c>
      <c r="J18" s="37">
        <f>IF($B18&gt;Parameters!$B$19,0,I18*VLOOKUP(I$7+$B18-1,'Mortality tables'!$A$5:$B$125,2,FALSE)*J$5*J$6)</f>
        <v>158917.50660166953</v>
      </c>
      <c r="K18" s="93">
        <f>K17*(1-VLOOKUP(K$7+$B17-1,'Mortality tables'!$A$5:$E$125,2,FALSE))</f>
        <v>0.96022427031163549</v>
      </c>
      <c r="L18" s="37">
        <f>IF($B18&gt;Parameters!$B$19,0,K18*VLOOKUP(K$7+$B18-1,'Mortality tables'!$A$5:$B$125,2,FALSE)*L$5*L$6)</f>
        <v>262909.40521132579</v>
      </c>
      <c r="M18" s="93">
        <f>M17*(1-VLOOKUP(M$7+$B17-1,'Mortality tables'!$A$5:$E$125,2,FALSE))</f>
        <v>0.93470643526987696</v>
      </c>
      <c r="N18" s="37">
        <f>IF($B18&gt;Parameters!$B$19,0,M18*VLOOKUP(M$7+$B18-1,'Mortality tables'!$A$5:$B$125,2,FALSE)*N$5*N$6)</f>
        <v>244743.5330110646</v>
      </c>
      <c r="O18" s="93">
        <f>O17*(1-VLOOKUP(O$7+$A18-Parameters!$B$18-1,'Mortality tables'!$A$5:$E$125,3,FALSE))</f>
        <v>0.99057195974085632</v>
      </c>
      <c r="P18" s="41">
        <f>IF($B18&gt;Parameters!$B$19,0,O18*VLOOKUP(O$7+$B18-1,'Mortality tables'!$A$5:$C$125,3,FALSE)*P$5*P$6)</f>
        <v>1436.3293416242416</v>
      </c>
      <c r="Q18" s="93">
        <f>Q17*(1-VLOOKUP(Q$7+$A18-Parameters!$B$18-1,'Mortality tables'!$A$5:$E$125,3,FALSE))</f>
        <v>0.98590670770779187</v>
      </c>
      <c r="R18" s="37">
        <f>IF($B18&gt;Parameters!$B$19,0,Q18*VLOOKUP(Q$7+$B18-1,'Mortality tables'!$A$5:$C$125,3,FALSE)*R$5*R$6)</f>
        <v>8483.4807431486224</v>
      </c>
      <c r="S18" s="93">
        <f>S17*(1-VLOOKUP(S$7+$A18-Parameters!$B$18-1,'Mortality tables'!$A$5:$E$125,3,FALSE))</f>
        <v>0.97963613397820903</v>
      </c>
      <c r="T18" s="37">
        <f>IF($B18&gt;Parameters!$B$19,0,S18*VLOOKUP(S$7+'TA projections'!$A18-Parameters!$B$18,'Mortality tables'!$A$5:$C$125,3,FALSE)*T$5*T$6)</f>
        <v>73325.764628268953</v>
      </c>
      <c r="U18" s="93">
        <f>U17*(1-VLOOKUP(U$7+$A18-Parameters!$B$18-1,'Mortality tables'!$A$5:$E$125,3,FALSE))</f>
        <v>0.97100273127648384</v>
      </c>
      <c r="V18" s="37">
        <f>IF($B18&gt;Parameters!$B$19,0,U18*VLOOKUP(U$7+'TA projections'!$A18-Parameters!$B$18,'Mortality tables'!$A$5:$C$125,3,FALSE)*V$5*V$6)</f>
        <v>115896.94399969856</v>
      </c>
      <c r="W18" s="93">
        <f>W17*(1-VLOOKUP(W$7+$A18-Parameters!$B$18-1,'Mortality tables'!$A$5:$E$125,3,FALSE))</f>
        <v>0.95980920792919355</v>
      </c>
      <c r="X18" s="37">
        <f>IF($B18&gt;Parameters!$B$19,0,W18*VLOOKUP(W$7+'TA projections'!$A18-Parameters!$B$18,'Mortality tables'!$A$5:$C$125,3,FALSE)*X$5*X$6)</f>
        <v>6426.8824562938798</v>
      </c>
      <c r="Y18" s="93">
        <f>Y17*(1-VLOOKUP(Y$7+$A18-Parameters!$B$18-1,'Mortality tables'!$A$5:$E$125,3,FALSE))</f>
        <v>0.94695521477490152</v>
      </c>
      <c r="Z18" s="37">
        <f>IF($B18&gt;Parameters!$B$19,0,Y18*VLOOKUP(Y$7+'TA projections'!$A18-Parameters!$B$18,'Mortality tables'!$A$5:$C$125,3,FALSE)*Z$5*Z$6)</f>
        <v>1637.9957827568858</v>
      </c>
      <c r="AA18" s="92">
        <f>IF(B18&gt;Parameters!$B$19,0,SUM(Parameters!$C$5:$C$16)*Parameters!$B$46)</f>
        <v>11250</v>
      </c>
      <c r="AB18" s="63">
        <f t="shared" si="1"/>
        <v>891368.81537337252</v>
      </c>
      <c r="AD18" s="57">
        <f t="shared" si="2"/>
        <v>2032</v>
      </c>
      <c r="AE18" s="30">
        <f>AD18-Parameters!$B$18+1</f>
        <v>11</v>
      </c>
      <c r="AF18" s="93">
        <f>AF17*(1-VLOOKUP(AF$7+$B17-1,'Mortality tables'!$A$5:$E$125,4,FALSE))</f>
        <v>0.98792209345374538</v>
      </c>
      <c r="AG18" s="37">
        <f>IF($B18&gt;Parameters!$B$19,0,AF18*VLOOKUP(AF$7+$B18-1,'Mortality tables'!$A$5:$E$125,4,FALSE)*AG$5*AG$6)</f>
        <v>4289.1625609387811</v>
      </c>
      <c r="AH18" s="93">
        <f>AH17*(1-VLOOKUP(AH$7+$B17-1,'Mortality tables'!$A$5:$E$125,4,FALSE))</f>
        <v>0.98555066647749789</v>
      </c>
      <c r="AI18" s="37">
        <f>IF($B18&gt;Parameters!$B$19,0,AH18*VLOOKUP(AH$7+$B18-1,'Mortality tables'!$A$5:$E$125,4,FALSE)*AI$5*AI$6)</f>
        <v>1135.3543677820776</v>
      </c>
      <c r="AJ18" s="93">
        <f>AJ17*(1-VLOOKUP(AJ$7+$B17-1,'Mortality tables'!$A$5:$E$125,4,FALSE))</f>
        <v>0.98078972978092771</v>
      </c>
      <c r="AK18" s="37">
        <f>IF($B18&gt;Parameters!$B$19,0,AJ18*VLOOKUP(AJ$7+$B18-1,'Mortality tables'!$A$5:$E$125,4,FALSE)*AK$5*AK$6)</f>
        <v>2166.172197194157</v>
      </c>
      <c r="AL18" s="93">
        <f>AL17*(1-VLOOKUP(AL$7+$B17-1,'Mortality tables'!$A$5:$E$125,4,FALSE))</f>
        <v>0.97087067565233665</v>
      </c>
      <c r="AM18" s="37">
        <f>IF($B18&gt;Parameters!$B$19,0,AL18*VLOOKUP(AL$7+$B18-1,'Mortality tables'!$A$5:$E$125,4,FALSE)*AM$5*AM$6)</f>
        <v>189762.49878030311</v>
      </c>
      <c r="AN18" s="93">
        <f>AN17*(1-VLOOKUP(AN$7+$B17-1,'Mortality tables'!$A$5:$E$125,4,FALSE))</f>
        <v>0.95244051291777632</v>
      </c>
      <c r="AO18" s="37">
        <f>IF($B18&gt;Parameters!$B$19,0,AN18*VLOOKUP(AN$7+$B18-1,'Mortality tables'!$A$5:$E$125,4,FALSE)*AO$5*AO$6)</f>
        <v>312933.8549242646</v>
      </c>
      <c r="AP18" s="93">
        <f>AP17*(1-VLOOKUP(AP$7+$B17-1,'Mortality tables'!$A$5:$E$125,4,FALSE))</f>
        <v>0.92211375807306661</v>
      </c>
      <c r="AQ18" s="37">
        <f>IF($B18&gt;Parameters!$B$19,0,AP18*VLOOKUP(AP$7+$B18-1,'Mortality tables'!$A$5:$E$125,4,FALSE)*AQ$5*AQ$6)</f>
        <v>289735.5196966221</v>
      </c>
      <c r="AR18" s="93">
        <f>AR17*(1-VLOOKUP(AR$7+$B17-1,'Mortality tables'!$A$5:$E$125,5,FALSE))</f>
        <v>0.98869591340440566</v>
      </c>
      <c r="AS18" s="41">
        <f>IF($B18&gt;Parameters!$B$19,0,AR18*VLOOKUP(AR$7+$B18-1,'Mortality tables'!$A$5:$E$125,5,FALSE)*AS$5*AS$6)</f>
        <v>1720.3308893236656</v>
      </c>
      <c r="AT18" s="93">
        <f>AT17*(1-VLOOKUP(AT$7+$B17-1,'Mortality tables'!$A$5:$E$125,5,FALSE))</f>
        <v>0.98310948257340136</v>
      </c>
      <c r="AU18" s="54">
        <f>IF($B18&gt;Parameters!$B$19,0,AT18*VLOOKUP(AT$7+$B18-1,'Mortality tables'!$A$5:$E$125,5,FALSE)*AU$5*AU$6)</f>
        <v>10151.293584208172</v>
      </c>
      <c r="AV18" s="93">
        <f>AV17*(1-VLOOKUP(AV$7+$B17-1,'Mortality tables'!$A$5:$E$125,5,FALSE))</f>
        <v>0.9756082195347644</v>
      </c>
      <c r="AW18" s="54">
        <f>IF($B18&gt;Parameters!$B$19,0,AV18*VLOOKUP(AV$7+$B18-1,'Mortality tables'!$A$5:$E$125,5,FALSE)*AW$5*AW$6)</f>
        <v>87629.130278612545</v>
      </c>
      <c r="AX18" s="93">
        <f>AX17*(1-VLOOKUP(AX$7+$B17-1,'Mortality tables'!$A$5:$E$125,5,FALSE))</f>
        <v>0.96529451783597198</v>
      </c>
      <c r="AY18" s="54">
        <f>IF($B18&gt;Parameters!$B$19,0,AX18*VLOOKUP(AX$7+$B18-1,'Mortality tables'!$A$5:$E$125,5,FALSE)*AY$5*AY$6)</f>
        <v>138258.74767183911</v>
      </c>
      <c r="AZ18" s="93">
        <f>AZ17*(1-VLOOKUP(AZ$7+$B17-1,'Mortality tables'!$A$5:$E$125,5,FALSE))</f>
        <v>0.95194711090476092</v>
      </c>
      <c r="BA18" s="54">
        <f>IF($B18&gt;Parameters!$B$19,0,AZ18*VLOOKUP(AZ$7+$B18-1,'Mortality tables'!$A$5:$E$125,5,FALSE)*BA$5*BA$6)</f>
        <v>7649.0854255419335</v>
      </c>
      <c r="BB18" s="93">
        <f>BB17*(1-VLOOKUP(BB$7+$B17-1,'Mortality tables'!$A$5:$E$125,5,FALSE))</f>
        <v>0.93665459349807689</v>
      </c>
      <c r="BC18" s="54">
        <f>IF($B18&gt;Parameters!$B$19,0,BB18*VLOOKUP(BB$7+$B18-1,'Mortality tables'!$A$5:$E$125,5,FALSE)*BC$5*BC$6)</f>
        <v>1944.213939723958</v>
      </c>
      <c r="BD18" s="92">
        <f>AA18*(1+Parameters!$B$54)</f>
        <v>12375.000000000002</v>
      </c>
      <c r="BE18" s="63">
        <f t="shared" si="3"/>
        <v>1059750.364316354</v>
      </c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5"/>
    </row>
    <row r="19" spans="1:72">
      <c r="A19" s="57">
        <f t="shared" si="0"/>
        <v>2033</v>
      </c>
      <c r="B19" s="30">
        <f>A19-Parameters!$B$18+1</f>
        <v>12</v>
      </c>
      <c r="C19" s="93">
        <f>C18*(1-VLOOKUP(C$7+$B18-1,'Mortality tables'!$A$5:$E$125,2,FALSE))</f>
        <v>0.98873207228269122</v>
      </c>
      <c r="D19" s="37">
        <f>IF($B19&gt;Parameters!$B$19,0,C19*VLOOKUP(C$7+$B19-1,'Mortality tables'!$A$5:$B$125,2,FALSE)*D$5*D$6)</f>
        <v>3728.5086445780289</v>
      </c>
      <c r="E19" s="93">
        <f>E18*(1-VLOOKUP(E$7+$B18-1,'Mortality tables'!$A$5:$E$125,2,FALSE))</f>
        <v>0.98636506968114823</v>
      </c>
      <c r="F19" s="37">
        <f>IF($B19&gt;Parameters!$B$19,0,E19*VLOOKUP(E$7+$B19-1,'Mortality tables'!$A$5:$B$125,2,FALSE)*F$5*F$6)</f>
        <v>1021.4796661617972</v>
      </c>
      <c r="G19" s="93">
        <f>G18*(1-VLOOKUP(G$7+$B18-1,'Mortality tables'!$A$5:$E$125,2,FALSE))</f>
        <v>0.98155364208291584</v>
      </c>
      <c r="H19" s="37">
        <f>IF($B19&gt;Parameters!$B$19,0,G19*VLOOKUP(G$7+$B19-1,'Mortality tables'!$A$5:$B$125,2,FALSE)*H$5*H$6)</f>
        <v>1990.5907861441533</v>
      </c>
      <c r="I19" s="93">
        <f>I18*(1-VLOOKUP(I$7+$B18-1,'Mortality tables'!$A$5:$E$125,2,FALSE))</f>
        <v>0.97169937693263475</v>
      </c>
      <c r="J19" s="37">
        <f>IF($B19&gt;Parameters!$B$19,0,I19*VLOOKUP(I$7+$B19-1,'Mortality tables'!$A$5:$B$125,2,FALSE)*J$5*J$6)</f>
        <v>175799.85127465229</v>
      </c>
      <c r="K19" s="93">
        <f>K18*(1-VLOOKUP(K$7+$B18-1,'Mortality tables'!$A$5:$E$125,2,FALSE))</f>
        <v>0.95365153518135237</v>
      </c>
      <c r="L19" s="37">
        <f>IF($B19&gt;Parameters!$B$19,0,K19*VLOOKUP(K$7+$B19-1,'Mortality tables'!$A$5:$B$125,2,FALSE)*L$5*L$6)</f>
        <v>288460.51636165543</v>
      </c>
      <c r="M19" s="93">
        <f>M18*(1-VLOOKUP(M$7+$B18-1,'Mortality tables'!$A$5:$E$125,2,FALSE))</f>
        <v>0.92450878806108261</v>
      </c>
      <c r="N19" s="37">
        <f>IF($B19&gt;Parameters!$B$19,0,M19*VLOOKUP(M$7+$B19-1,'Mortality tables'!$A$5:$B$125,2,FALSE)*N$5*N$6)</f>
        <v>262508.72331721603</v>
      </c>
      <c r="O19" s="93">
        <f>O18*(1-VLOOKUP(O$7+$A19-Parameters!$B$18-1,'Mortality tables'!$A$5:$E$125,3,FALSE))</f>
        <v>0.98913563039923214</v>
      </c>
      <c r="P19" s="41">
        <f>IF($B19&gt;Parameters!$B$19,0,O19*VLOOKUP(O$7+$B19-1,'Mortality tables'!$A$5:$C$125,3,FALSE)*P$5*P$6)</f>
        <v>1541.0733121620035</v>
      </c>
      <c r="Q19" s="93">
        <f>Q18*(1-VLOOKUP(Q$7+$A19-Parameters!$B$18-1,'Mortality tables'!$A$5:$E$125,3,FALSE))</f>
        <v>0.9838501063155134</v>
      </c>
      <c r="R19" s="37">
        <f>IF($B19&gt;Parameters!$B$19,0,Q19*VLOOKUP(Q$7+$B19-1,'Mortality tables'!$A$5:$C$125,3,FALSE)*R$5*R$6)</f>
        <v>9107.008509109548</v>
      </c>
      <c r="S19" s="93">
        <f>S18*(1-VLOOKUP(S$7+$A19-Parameters!$B$18-1,'Mortality tables'!$A$5:$E$125,3,FALSE))</f>
        <v>0.9767031033930782</v>
      </c>
      <c r="T19" s="37">
        <f>IF($B19&gt;Parameters!$B$19,0,S19*VLOOKUP(S$7+'TA projections'!$A19-Parameters!$B$18,'Mortality tables'!$A$5:$C$125,3,FALSE)*T$5*T$6)</f>
        <v>78404.841624879351</v>
      </c>
      <c r="U19" s="93">
        <f>U18*(1-VLOOKUP(U$7+$A19-Parameters!$B$18-1,'Mortality tables'!$A$5:$E$125,3,FALSE))</f>
        <v>0.96693617183789793</v>
      </c>
      <c r="V19" s="37">
        <f>IF($B19&gt;Parameters!$B$19,0,U19*VLOOKUP(U$7+'TA projections'!$A19-Parameters!$B$18,'Mortality tables'!$A$5:$C$125,3,FALSE)*V$5*V$6)</f>
        <v>122797.02607872567</v>
      </c>
      <c r="W19" s="93">
        <f>W18*(1-VLOOKUP(W$7+$A19-Parameters!$B$18-1,'Mortality tables'!$A$5:$E$125,3,FALSE))</f>
        <v>0.95445347254894863</v>
      </c>
      <c r="X19" s="37">
        <f>IF($B19&gt;Parameters!$B$19,0,W19*VLOOKUP(W$7+'TA projections'!$A19-Parameters!$B$18,'Mortality tables'!$A$5:$C$125,3,FALSE)*X$5*X$6)</f>
        <v>6715.1528514653837</v>
      </c>
      <c r="Y19" s="93">
        <f>Y18*(1-VLOOKUP(Y$7+$A19-Parameters!$B$18-1,'Mortality tables'!$A$5:$E$125,3,FALSE))</f>
        <v>0.94040323164387396</v>
      </c>
      <c r="Z19" s="37">
        <f>IF($B19&gt;Parameters!$B$19,0,Y19*VLOOKUP(Y$7+'TA projections'!$A19-Parameters!$B$18,'Mortality tables'!$A$5:$C$125,3,FALSE)*Z$5*Z$6)</f>
        <v>1775.9515029594561</v>
      </c>
      <c r="AA19" s="92">
        <f>IF(B19&gt;Parameters!$B$19,0,SUM(Parameters!$C$5:$C$16)*Parameters!$B$46)</f>
        <v>11250</v>
      </c>
      <c r="AB19" s="63">
        <f t="shared" si="1"/>
        <v>965100.72392970917</v>
      </c>
      <c r="AD19" s="57">
        <f t="shared" si="2"/>
        <v>2033</v>
      </c>
      <c r="AE19" s="30">
        <f>AD19-Parameters!$B$18+1</f>
        <v>12</v>
      </c>
      <c r="AF19" s="93">
        <f>AF18*(1-VLOOKUP(AF$7+$B18-1,'Mortality tables'!$A$5:$E$125,4,FALSE))</f>
        <v>0.98649237260009914</v>
      </c>
      <c r="AG19" s="37">
        <f>IF($B19&gt;Parameters!$B$19,0,AF19*VLOOKUP(AF$7+$B19-1,'Mortality tables'!$A$5:$E$125,4,FALSE)*AG$5*AG$6)</f>
        <v>4464.0752844899689</v>
      </c>
      <c r="AH19" s="93">
        <f>AH18*(1-VLOOKUP(AH$7+$B18-1,'Mortality tables'!$A$5:$E$125,4,FALSE))</f>
        <v>0.98365840919786107</v>
      </c>
      <c r="AI19" s="37">
        <f>IF($B19&gt;Parameters!$B$19,0,AH19*VLOOKUP(AH$7+$B19-1,'Mortality tables'!$A$5:$E$125,4,FALSE)*AI$5*AI$6)</f>
        <v>1222.411978278366</v>
      </c>
      <c r="AJ19" s="93">
        <f>AJ18*(1-VLOOKUP(AJ$7+$B18-1,'Mortality tables'!$A$5:$E$125,4,FALSE))</f>
        <v>0.97790150018466881</v>
      </c>
      <c r="AK19" s="37">
        <f>IF($B19&gt;Parameters!$B$19,0,AJ19*VLOOKUP(AJ$7+$B19-1,'Mortality tables'!$A$5:$E$125,4,FALSE)*AK$5*AK$6)</f>
        <v>2379.8210908494098</v>
      </c>
      <c r="AL19" s="93">
        <f>AL18*(1-VLOOKUP(AL$7+$B18-1,'Mortality tables'!$A$5:$E$125,4,FALSE))</f>
        <v>0.96612661318282911</v>
      </c>
      <c r="AM19" s="37">
        <f>IF($B19&gt;Parameters!$B$19,0,AL19*VLOOKUP(AL$7+$B19-1,'Mortality tables'!$A$5:$E$125,4,FALSE)*AM$5*AM$6)</f>
        <v>209749.95222844495</v>
      </c>
      <c r="AN19" s="93">
        <f>AN18*(1-VLOOKUP(AN$7+$B18-1,'Mortality tables'!$A$5:$E$125,4,FALSE))</f>
        <v>0.94461716654466965</v>
      </c>
      <c r="AO19" s="37">
        <f>IF($B19&gt;Parameters!$B$19,0,AN19*VLOOKUP(AN$7+$B19-1,'Mortality tables'!$A$5:$E$125,4,FALSE)*AO$5*AO$6)</f>
        <v>342873.36064371804</v>
      </c>
      <c r="AP19" s="93">
        <f>AP18*(1-VLOOKUP(AP$7+$B18-1,'Mortality tables'!$A$5:$E$125,4,FALSE))</f>
        <v>0.91004144475237403</v>
      </c>
      <c r="AQ19" s="37">
        <f>IF($B19&gt;Parameters!$B$19,0,AP19*VLOOKUP(AP$7+$B19-1,'Mortality tables'!$A$5:$E$125,4,FALSE)*AQ$5*AQ$6)</f>
        <v>310080.96958652168</v>
      </c>
      <c r="AR19" s="93">
        <f>AR18*(1-VLOOKUP(AR$7+$B18-1,'Mortality tables'!$A$5:$E$125,5,FALSE))</f>
        <v>0.986975582515082</v>
      </c>
      <c r="AS19" s="41">
        <f>IF($B19&gt;Parameters!$B$19,0,AR19*VLOOKUP(AR$7+$B19-1,'Mortality tables'!$A$5:$E$125,5,FALSE)*AS$5*AS$6)</f>
        <v>1845.2495490701972</v>
      </c>
      <c r="AT19" s="93">
        <f>AT18*(1-VLOOKUP(AT$7+$B18-1,'Mortality tables'!$A$5:$E$125,5,FALSE))</f>
        <v>0.98064856291662361</v>
      </c>
      <c r="AU19" s="54">
        <f>IF($B19&gt;Parameters!$B$19,0,AT19*VLOOKUP(AT$7+$B19-1,'Mortality tables'!$A$5:$E$125,5,FALSE)*AU$5*AU$6)</f>
        <v>10892.848107165271</v>
      </c>
      <c r="AV19" s="93">
        <f>AV18*(1-VLOOKUP(AV$7+$B18-1,'Mortality tables'!$A$5:$E$125,5,FALSE))</f>
        <v>0.97210305432361999</v>
      </c>
      <c r="AW19" s="54">
        <f>IF($B19&gt;Parameters!$B$19,0,AV19*VLOOKUP(AV$7+$B19-1,'Mortality tables'!$A$5:$E$125,5,FALSE)*AW$5*AW$6)</f>
        <v>93642.687222994296</v>
      </c>
      <c r="AX19" s="93">
        <f>AX18*(1-VLOOKUP(AX$7+$B18-1,'Mortality tables'!$A$5:$E$125,5,FALSE))</f>
        <v>0.96044333370713553</v>
      </c>
      <c r="AY19" s="54">
        <f>IF($B19&gt;Parameters!$B$19,0,AX19*VLOOKUP(AX$7+$B19-1,'Mortality tables'!$A$5:$E$125,5,FALSE)*AY$5*AY$6)</f>
        <v>146366.95392896567</v>
      </c>
      <c r="AZ19" s="93">
        <f>AZ18*(1-VLOOKUP(AZ$7+$B18-1,'Mortality tables'!$A$5:$E$125,5,FALSE))</f>
        <v>0.94557287305014259</v>
      </c>
      <c r="BA19" s="54">
        <f>IF($B19&gt;Parameters!$B$19,0,AZ19*VLOOKUP(AZ$7+$B19-1,'Mortality tables'!$A$5:$E$125,5,FALSE)*BA$5*BA$6)</f>
        <v>7983.2070067578998</v>
      </c>
      <c r="BB19" s="93">
        <f>BB18*(1-VLOOKUP(BB$7+$B18-1,'Mortality tables'!$A$5:$E$125,5,FALSE))</f>
        <v>0.92887773773918103</v>
      </c>
      <c r="BC19" s="54">
        <f>IF($B19&gt;Parameters!$B$19,0,BB19*VLOOKUP(BB$7+$B19-1,'Mortality tables'!$A$5:$E$125,5,FALSE)*BC$5*BC$6)</f>
        <v>2105.0227292645318</v>
      </c>
      <c r="BD19" s="92">
        <f>AA19*(1+Parameters!$B$54)</f>
        <v>12375.000000000002</v>
      </c>
      <c r="BE19" s="63">
        <f t="shared" si="3"/>
        <v>1145981.5593565202</v>
      </c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5"/>
    </row>
    <row r="20" spans="1:72">
      <c r="A20" s="57">
        <f t="shared" si="0"/>
        <v>2034</v>
      </c>
      <c r="B20" s="30">
        <f>A20-Parameters!$B$18+1</f>
        <v>13</v>
      </c>
      <c r="C20" s="93">
        <f>C19*(1-VLOOKUP(C$7+$B19-1,'Mortality tables'!$A$5:$E$125,2,FALSE))</f>
        <v>0.9874892360678319</v>
      </c>
      <c r="D20" s="37">
        <f>IF($B20&gt;Parameters!$B$19,0,C20*VLOOKUP(C$7+$B20-1,'Mortality tables'!$A$5:$B$125,2,FALSE)*D$5*D$6)</f>
        <v>3913.4198425368181</v>
      </c>
      <c r="E20" s="93">
        <f>E19*(1-VLOOKUP(E$7+$B19-1,'Mortality tables'!$A$5:$E$125,2,FALSE))</f>
        <v>0.98466260357087854</v>
      </c>
      <c r="F20" s="37">
        <f>IF($B20&gt;Parameters!$B$19,0,E20*VLOOKUP(E$7+$B20-1,'Mortality tables'!$A$5:$B$125,2,FALSE)*F$5*F$6)</f>
        <v>1106.5638338929534</v>
      </c>
      <c r="G20" s="93">
        <f>G19*(1-VLOOKUP(G$7+$B19-1,'Mortality tables'!$A$5:$E$125,2,FALSE))</f>
        <v>0.97889952103472355</v>
      </c>
      <c r="H20" s="37">
        <f>IF($B20&gt;Parameters!$B$19,0,G20*VLOOKUP(G$7+$B20-1,'Mortality tables'!$A$5:$B$125,2,FALSE)*H$5*H$6)</f>
        <v>2193.7138266388156</v>
      </c>
      <c r="I20" s="93">
        <f>I19*(1-VLOOKUP(I$7+$B19-1,'Mortality tables'!$A$5:$E$125,2,FALSE))</f>
        <v>0.9673043806507684</v>
      </c>
      <c r="J20" s="37">
        <f>IF($B20&gt;Parameters!$B$19,0,I20*VLOOKUP(I$7+$B20-1,'Mortality tables'!$A$5:$B$125,2,FALSE)*J$5*J$6)</f>
        <v>194350.79616035239</v>
      </c>
      <c r="K20" s="93">
        <f>K19*(1-VLOOKUP(K$7+$B19-1,'Mortality tables'!$A$5:$E$125,2,FALSE))</f>
        <v>0.94644002227231105</v>
      </c>
      <c r="L20" s="37">
        <f>IF($B20&gt;Parameters!$B$19,0,K20*VLOOKUP(K$7+$B20-1,'Mortality tables'!$A$5:$B$125,2,FALSE)*L$5*L$6)</f>
        <v>315391.67302202492</v>
      </c>
      <c r="M20" s="93">
        <f>M19*(1-VLOOKUP(M$7+$B19-1,'Mortality tables'!$A$5:$E$125,2,FALSE))</f>
        <v>0.91357092458953193</v>
      </c>
      <c r="N20" s="37">
        <f>IF($B20&gt;Parameters!$B$19,0,M20*VLOOKUP(M$7+$B20-1,'Mortality tables'!$A$5:$B$125,2,FALSE)*N$5*N$6)</f>
        <v>279837.7370528687</v>
      </c>
      <c r="O20" s="93">
        <f>O19*(1-VLOOKUP(O$7+$A20-Parameters!$B$18-1,'Mortality tables'!$A$5:$E$125,3,FALSE))</f>
        <v>0.98759455708707022</v>
      </c>
      <c r="P20" s="41">
        <f>IF($B20&gt;Parameters!$B$19,0,O20*VLOOKUP(O$7+$B20-1,'Mortality tables'!$A$5:$C$125,3,FALSE)*P$5*P$6)</f>
        <v>1654.2208831208425</v>
      </c>
      <c r="Q20" s="93">
        <f>Q19*(1-VLOOKUP(Q$7+$A20-Parameters!$B$18-1,'Mortality tables'!$A$5:$E$125,3,FALSE))</f>
        <v>0.98164234667694139</v>
      </c>
      <c r="R20" s="37">
        <f>IF($B20&gt;Parameters!$B$19,0,Q20*VLOOKUP(Q$7+$B20-1,'Mortality tables'!$A$5:$C$125,3,FALSE)*R$5*R$6)</f>
        <v>9774.9490776223138</v>
      </c>
      <c r="S20" s="93">
        <f>S19*(1-VLOOKUP(S$7+$A20-Parameters!$B$18-1,'Mortality tables'!$A$5:$E$125,3,FALSE))</f>
        <v>0.97356690972808302</v>
      </c>
      <c r="T20" s="37">
        <f>IF($B20&gt;Parameters!$B$19,0,S20*VLOOKUP(S$7+'TA projections'!$A20-Parameters!$B$18,'Mortality tables'!$A$5:$C$125,3,FALSE)*T$5*T$6)</f>
        <v>83702.415063871944</v>
      </c>
      <c r="U20" s="93">
        <f>U19*(1-VLOOKUP(U$7+$A20-Parameters!$B$18-1,'Mortality tables'!$A$5:$E$125,3,FALSE))</f>
        <v>0.96262750425618826</v>
      </c>
      <c r="V20" s="37">
        <f>IF($B20&gt;Parameters!$B$19,0,U20*VLOOKUP(U$7+'TA projections'!$A20-Parameters!$B$18,'Mortality tables'!$A$5:$C$125,3,FALSE)*V$5*V$6)</f>
        <v>129794.43559512678</v>
      </c>
      <c r="W20" s="93">
        <f>W19*(1-VLOOKUP(W$7+$A20-Parameters!$B$18-1,'Mortality tables'!$A$5:$E$125,3,FALSE))</f>
        <v>0.94885751183939415</v>
      </c>
      <c r="X20" s="37">
        <f>IF($B20&gt;Parameters!$B$19,0,W20*VLOOKUP(W$7+'TA projections'!$A20-Parameters!$B$18,'Mortality tables'!$A$5:$C$125,3,FALSE)*X$5*X$6)</f>
        <v>6993.459405261071</v>
      </c>
      <c r="Y20" s="93">
        <f>Y19*(1-VLOOKUP(Y$7+$A20-Parameters!$B$18-1,'Mortality tables'!$A$5:$E$125,3,FALSE))</f>
        <v>0.93329942563203616</v>
      </c>
      <c r="Z20" s="37">
        <f>IF($B20&gt;Parameters!$B$19,0,Y20*VLOOKUP(Y$7+'TA projections'!$A20-Parameters!$B$18,'Mortality tables'!$A$5:$C$125,3,FALSE)*Z$5*Z$6)</f>
        <v>1926.7966642173387</v>
      </c>
      <c r="AA20" s="92">
        <f>IF(B20&gt;Parameters!$B$19,0,SUM(Parameters!$C$5:$C$16)*Parameters!$B$46)</f>
        <v>11250</v>
      </c>
      <c r="AB20" s="63">
        <f t="shared" si="1"/>
        <v>1041890.1804275351</v>
      </c>
      <c r="AD20" s="57">
        <f t="shared" si="2"/>
        <v>2034</v>
      </c>
      <c r="AE20" s="30">
        <f>AD20-Parameters!$B$18+1</f>
        <v>13</v>
      </c>
      <c r="AF20" s="93">
        <f>AF19*(1-VLOOKUP(AF$7+$B19-1,'Mortality tables'!$A$5:$E$125,4,FALSE))</f>
        <v>0.98500434750526922</v>
      </c>
      <c r="AG20" s="37">
        <f>IF($B20&gt;Parameters!$B$19,0,AF20*VLOOKUP(AF$7+$B20-1,'Mortality tables'!$A$5:$E$125,4,FALSE)*AG$5*AG$6)</f>
        <v>4684.2866749960585</v>
      </c>
      <c r="AH20" s="93">
        <f>AH19*(1-VLOOKUP(AH$7+$B19-1,'Mortality tables'!$A$5:$E$125,4,FALSE))</f>
        <v>0.98162105590073045</v>
      </c>
      <c r="AI20" s="37">
        <f>IF($B20&gt;Parameters!$B$19,0,AH20*VLOOKUP(AH$7+$B20-1,'Mortality tables'!$A$5:$E$125,4,FALSE)*AI$5*AI$6)</f>
        <v>1323.7748911454892</v>
      </c>
      <c r="AJ20" s="93">
        <f>AJ19*(1-VLOOKUP(AJ$7+$B19-1,'Mortality tables'!$A$5:$E$125,4,FALSE))</f>
        <v>0.97472840539686956</v>
      </c>
      <c r="AK20" s="37">
        <f>IF($B20&gt;Parameters!$B$19,0,AJ20*VLOOKUP(AJ$7+$B20-1,'Mortality tables'!$A$5:$E$125,4,FALSE)*AK$5*AK$6)</f>
        <v>2621.2396277932617</v>
      </c>
      <c r="AL20" s="93">
        <f>AL19*(1-VLOOKUP(AL$7+$B19-1,'Mortality tables'!$A$5:$E$125,4,FALSE))</f>
        <v>0.96088286437711801</v>
      </c>
      <c r="AM20" s="37">
        <f>IF($B20&gt;Parameters!$B$19,0,AL20*VLOOKUP(AL$7+$B20-1,'Mortality tables'!$A$5:$E$125,4,FALSE)*AM$5*AM$6)</f>
        <v>231672.70213278063</v>
      </c>
      <c r="AN20" s="93">
        <f>AN19*(1-VLOOKUP(AN$7+$B19-1,'Mortality tables'!$A$5:$E$125,4,FALSE))</f>
        <v>0.93604533252857669</v>
      </c>
      <c r="AO20" s="37">
        <f>IF($B20&gt;Parameters!$B$19,0,AN20*VLOOKUP(AN$7+$B20-1,'Mortality tables'!$A$5:$E$125,4,FALSE)*AO$5*AO$6)</f>
        <v>374313.29593418742</v>
      </c>
      <c r="AP20" s="93">
        <f>AP19*(1-VLOOKUP(AP$7+$B19-1,'Mortality tables'!$A$5:$E$125,4,FALSE))</f>
        <v>0.89712140435293564</v>
      </c>
      <c r="AQ20" s="37">
        <f>IF($B20&gt;Parameters!$B$19,0,AP20*VLOOKUP(AP$7+$B20-1,'Mortality tables'!$A$5:$E$125,4,FALSE)*AQ$5*AQ$6)</f>
        <v>329758.86193218769</v>
      </c>
      <c r="AR20" s="93">
        <f>AR19*(1-VLOOKUP(AR$7+$B19-1,'Mortality tables'!$A$5:$E$125,5,FALSE))</f>
        <v>0.98513033296601182</v>
      </c>
      <c r="AS20" s="41">
        <f>IF($B20&gt;Parameters!$B$19,0,AR20*VLOOKUP(AR$7+$B20-1,'Mortality tables'!$A$5:$E$125,5,FALSE)*AS$5*AS$6)</f>
        <v>1980.1119692616842</v>
      </c>
      <c r="AT20" s="93">
        <f>AT19*(1-VLOOKUP(AT$7+$B19-1,'Mortality tables'!$A$5:$E$125,5,FALSE))</f>
        <v>0.97800787246640164</v>
      </c>
      <c r="AU20" s="54">
        <f>IF($B20&gt;Parameters!$B$19,0,AT20*VLOOKUP(AT$7+$B20-1,'Mortality tables'!$A$5:$E$125,5,FALSE)*AU$5*AU$6)</f>
        <v>11686.509470462774</v>
      </c>
      <c r="AV20" s="93">
        <f>AV19*(1-VLOOKUP(AV$7+$B19-1,'Mortality tables'!$A$5:$E$125,5,FALSE))</f>
        <v>0.96835734683470021</v>
      </c>
      <c r="AW20" s="54">
        <f>IF($B20&gt;Parameters!$B$19,0,AV20*VLOOKUP(AV$7+$B20-1,'Mortality tables'!$A$5:$E$125,5,FALSE)*AW$5*AW$6)</f>
        <v>99905.427472936019</v>
      </c>
      <c r="AX20" s="93">
        <f>AX19*(1-VLOOKUP(AX$7+$B19-1,'Mortality tables'!$A$5:$E$125,5,FALSE))</f>
        <v>0.95530765111313676</v>
      </c>
      <c r="AY20" s="54">
        <f>IF($B20&gt;Parameters!$B$19,0,AX20*VLOOKUP(AX$7+$B20-1,'Mortality tables'!$A$5:$E$125,5,FALSE)*AY$5*AY$6)</f>
        <v>154568.96901163575</v>
      </c>
      <c r="AZ20" s="93">
        <f>AZ19*(1-VLOOKUP(AZ$7+$B19-1,'Mortality tables'!$A$5:$E$125,5,FALSE))</f>
        <v>0.93892020054451097</v>
      </c>
      <c r="BA20" s="54">
        <f>IF($B20&gt;Parameters!$B$19,0,AZ20*VLOOKUP(AZ$7+$B20-1,'Mortality tables'!$A$5:$E$125,5,FALSE)*BA$5*BA$6)</f>
        <v>8304.2609353119151</v>
      </c>
      <c r="BB20" s="93">
        <f>BB19*(1-VLOOKUP(BB$7+$B19-1,'Mortality tables'!$A$5:$E$125,5,FALSE))</f>
        <v>0.92045764682212294</v>
      </c>
      <c r="BC20" s="54">
        <f>IF($B20&gt;Parameters!$B$19,0,BB20*VLOOKUP(BB$7+$B20-1,'Mortality tables'!$A$5:$E$125,5,FALSE)*BC$5*BC$6)</f>
        <v>2280.3417742371271</v>
      </c>
      <c r="BD20" s="92">
        <f>AA20*(1+Parameters!$B$54)</f>
        <v>12375.000000000002</v>
      </c>
      <c r="BE20" s="63">
        <f t="shared" si="3"/>
        <v>1235474.7818269359</v>
      </c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5"/>
    </row>
    <row r="21" spans="1:72">
      <c r="A21" s="57">
        <f t="shared" si="0"/>
        <v>2035</v>
      </c>
      <c r="B21" s="30">
        <f>A21-Parameters!$B$18+1</f>
        <v>14</v>
      </c>
      <c r="C21" s="93">
        <f>C20*(1-VLOOKUP(C$7+$B20-1,'Mortality tables'!$A$5:$E$125,2,FALSE))</f>
        <v>0.9861847627869863</v>
      </c>
      <c r="D21" s="37">
        <f>IF($B21&gt;Parameters!$B$19,0,C21*VLOOKUP(C$7+$B21-1,'Mortality tables'!$A$5:$B$125,2,FALSE)*D$5*D$6)</f>
        <v>4139.0174494169814</v>
      </c>
      <c r="E21" s="93">
        <f>E20*(1-VLOOKUP(E$7+$B20-1,'Mortality tables'!$A$5:$E$125,2,FALSE))</f>
        <v>0.98281833051439027</v>
      </c>
      <c r="F21" s="37">
        <f>IF($B21&gt;Parameters!$B$19,0,E21*VLOOKUP(E$7+$B21-1,'Mortality tables'!$A$5:$B$125,2,FALSE)*F$5*F$6)</f>
        <v>1203.5593275479223</v>
      </c>
      <c r="G21" s="93">
        <f>G20*(1-VLOOKUP(G$7+$B20-1,'Mortality tables'!$A$5:$E$125,2,FALSE))</f>
        <v>0.97597456926587178</v>
      </c>
      <c r="H21" s="37">
        <f>IF($B21&gt;Parameters!$B$19,0,G21*VLOOKUP(G$7+$B21-1,'Mortality tables'!$A$5:$B$125,2,FALSE)*H$5*H$6)</f>
        <v>2421.392906348628</v>
      </c>
      <c r="I21" s="93">
        <f>I20*(1-VLOOKUP(I$7+$B20-1,'Mortality tables'!$A$5:$E$125,2,FALSE))</f>
        <v>0.96244561074675961</v>
      </c>
      <c r="J21" s="37">
        <f>IF($B21&gt;Parameters!$B$19,0,I21*VLOOKUP(I$7+$B21-1,'Mortality tables'!$A$5:$B$125,2,FALSE)*J$5*J$6)</f>
        <v>214663.8690209573</v>
      </c>
      <c r="K21" s="93">
        <f>K20*(1-VLOOKUP(K$7+$B20-1,'Mortality tables'!$A$5:$E$125,2,FALSE))</f>
        <v>0.93855523044676048</v>
      </c>
      <c r="L21" s="37">
        <f>IF($B21&gt;Parameters!$B$19,0,K21*VLOOKUP(K$7+$B21-1,'Mortality tables'!$A$5:$B$125,2,FALSE)*L$5*L$6)</f>
        <v>343511.21434351435</v>
      </c>
      <c r="M21" s="93">
        <f>M20*(1-VLOOKUP(M$7+$B20-1,'Mortality tables'!$A$5:$E$125,2,FALSE))</f>
        <v>0.90191101887899572</v>
      </c>
      <c r="N21" s="37">
        <f>IF($B21&gt;Parameters!$B$19,0,M21*VLOOKUP(M$7+$B21-1,'Mortality tables'!$A$5:$B$125,2,FALSE)*N$5*N$6)</f>
        <v>296310.23849842977</v>
      </c>
      <c r="O21" s="93">
        <f>O20*(1-VLOOKUP(O$7+$A21-Parameters!$B$18-1,'Mortality tables'!$A$5:$E$125,3,FALSE))</f>
        <v>0.98594033620394939</v>
      </c>
      <c r="P21" s="41">
        <f>IF($B21&gt;Parameters!$B$19,0,O21*VLOOKUP(O$7+$B21-1,'Mortality tables'!$A$5:$C$125,3,FALSE)*P$5*P$6)</f>
        <v>1776.6644858395166</v>
      </c>
      <c r="Q21" s="93">
        <f>Q20*(1-VLOOKUP(Q$7+$A21-Parameters!$B$18-1,'Mortality tables'!$A$5:$E$125,3,FALSE))</f>
        <v>0.9792726620520632</v>
      </c>
      <c r="R21" s="37">
        <f>IF($B21&gt;Parameters!$B$19,0,Q21*VLOOKUP(Q$7+$B21-1,'Mortality tables'!$A$5:$C$125,3,FALSE)*R$5*R$6)</f>
        <v>10486.541301584517</v>
      </c>
      <c r="S21" s="93">
        <f>S20*(1-VLOOKUP(S$7+$A21-Parameters!$B$18-1,'Mortality tables'!$A$5:$E$125,3,FALSE))</f>
        <v>0.97021881312552816</v>
      </c>
      <c r="T21" s="37">
        <f>IF($B21&gt;Parameters!$B$19,0,S21*VLOOKUP(S$7+'TA projections'!$A21-Parameters!$B$18,'Mortality tables'!$A$5:$C$125,3,FALSE)*T$5*T$6)</f>
        <v>89235.875337220466</v>
      </c>
      <c r="U21" s="93">
        <f>U20*(1-VLOOKUP(U$7+$A21-Parameters!$B$18-1,'Mortality tables'!$A$5:$E$125,3,FALSE))</f>
        <v>0.95807331353355218</v>
      </c>
      <c r="V21" s="37">
        <f>IF($B21&gt;Parameters!$B$19,0,U21*VLOOKUP(U$7+'TA projections'!$A21-Parameters!$B$18,'Mortality tables'!$A$5:$C$125,3,FALSE)*V$5*V$6)</f>
        <v>136853.10825175967</v>
      </c>
      <c r="W21" s="93">
        <f>W20*(1-VLOOKUP(W$7+$A21-Parameters!$B$18-1,'Mortality tables'!$A$5:$E$125,3,FALSE))</f>
        <v>0.94302962900167664</v>
      </c>
      <c r="X21" s="37">
        <f>IF($B21&gt;Parameters!$B$19,0,W21*VLOOKUP(W$7+'TA projections'!$A21-Parameters!$B$18,'Mortality tables'!$A$5:$C$125,3,FALSE)*X$5*X$6)</f>
        <v>7257.1788129453034</v>
      </c>
      <c r="Y21" s="93">
        <f>Y20*(1-VLOOKUP(Y$7+$A21-Parameters!$B$18-1,'Mortality tables'!$A$5:$E$125,3,FALSE))</f>
        <v>0.92559223897516685</v>
      </c>
      <c r="Z21" s="37">
        <f>IF($B21&gt;Parameters!$B$19,0,Y21*VLOOKUP(Y$7+'TA projections'!$A21-Parameters!$B$18,'Mortality tables'!$A$5:$C$125,3,FALSE)*Z$5*Z$6)</f>
        <v>2089.5244794864388</v>
      </c>
      <c r="AA21" s="92">
        <f>IF(B21&gt;Parameters!$B$19,0,SUM(Parameters!$C$5:$C$16)*Parameters!$B$46)</f>
        <v>11250</v>
      </c>
      <c r="AB21" s="63">
        <f t="shared" si="1"/>
        <v>1121198.1842150511</v>
      </c>
      <c r="AD21" s="57">
        <f t="shared" si="2"/>
        <v>2035</v>
      </c>
      <c r="AE21" s="30">
        <f>AD21-Parameters!$B$18+1</f>
        <v>14</v>
      </c>
      <c r="AF21" s="93">
        <f>AF20*(1-VLOOKUP(AF$7+$B20-1,'Mortality tables'!$A$5:$E$125,4,FALSE))</f>
        <v>0.98344291861360389</v>
      </c>
      <c r="AG21" s="37">
        <f>IF($B21&gt;Parameters!$B$19,0,AF21*VLOOKUP(AF$7+$B21-1,'Mortality tables'!$A$5:$E$125,4,FALSE)*AG$5*AG$6)</f>
        <v>4953.0119153055548</v>
      </c>
      <c r="AH21" s="93">
        <f>AH20*(1-VLOOKUP(AH$7+$B20-1,'Mortality tables'!$A$5:$E$125,4,FALSE))</f>
        <v>0.97941476441548792</v>
      </c>
      <c r="AI21" s="37">
        <f>IF($B21&gt;Parameters!$B$19,0,AH21*VLOOKUP(AH$7+$B21-1,'Mortality tables'!$A$5:$E$125,4,FALSE)*AI$5*AI$6)</f>
        <v>1439.2695846038478</v>
      </c>
      <c r="AJ21" s="93">
        <f>AJ20*(1-VLOOKUP(AJ$7+$B20-1,'Mortality tables'!$A$5:$E$125,4,FALSE))</f>
        <v>0.97123341922647854</v>
      </c>
      <c r="AK21" s="37">
        <f>IF($B21&gt;Parameters!$B$19,0,AJ21*VLOOKUP(AJ$7+$B21-1,'Mortality tables'!$A$5:$E$125,4,FALSE)*AK$5*AK$6)</f>
        <v>2891.5561357210718</v>
      </c>
      <c r="AL21" s="93">
        <f>AL20*(1-VLOOKUP(AL$7+$B20-1,'Mortality tables'!$A$5:$E$125,4,FALSE))</f>
        <v>0.95509104682379842</v>
      </c>
      <c r="AM21" s="37">
        <f>IF($B21&gt;Parameters!$B$19,0,AL21*VLOOKUP(AL$7+$B21-1,'Mortality tables'!$A$5:$E$125,4,FALSE)*AM$5*AM$6)</f>
        <v>255628.20850029602</v>
      </c>
      <c r="AN21" s="93">
        <f>AN20*(1-VLOOKUP(AN$7+$B20-1,'Mortality tables'!$A$5:$E$125,4,FALSE))</f>
        <v>0.92668750013022194</v>
      </c>
      <c r="AO21" s="37">
        <f>IF($B21&gt;Parameters!$B$19,0,AN21*VLOOKUP(AN$7+$B21-1,'Mortality tables'!$A$5:$E$125,4,FALSE)*AO$5*AO$6)</f>
        <v>407001.15005719353</v>
      </c>
      <c r="AP21" s="93">
        <f>AP20*(1-VLOOKUP(AP$7+$B20-1,'Mortality tables'!$A$5:$E$125,4,FALSE))</f>
        <v>0.88338145177242788</v>
      </c>
      <c r="AQ21" s="37">
        <f>IF($B21&gt;Parameters!$B$19,0,AP21*VLOOKUP(AP$7+$B21-1,'Mortality tables'!$A$5:$E$125,4,FALSE)*AQ$5*AQ$6)</f>
        <v>348267.13036740758</v>
      </c>
      <c r="AR21" s="93">
        <f>AR20*(1-VLOOKUP(AR$7+$B20-1,'Mortality tables'!$A$5:$E$125,5,FALSE))</f>
        <v>0.9831502209967502</v>
      </c>
      <c r="AS21" s="41">
        <f>IF($B21&gt;Parameters!$B$19,0,AR21*VLOOKUP(AR$7+$B21-1,'Mortality tables'!$A$5:$E$125,5,FALSE)*AS$5*AS$6)</f>
        <v>2125.9640378833728</v>
      </c>
      <c r="AT21" s="93">
        <f>AT20*(1-VLOOKUP(AT$7+$B20-1,'Mortality tables'!$A$5:$E$125,5,FALSE))</f>
        <v>0.97517477926144092</v>
      </c>
      <c r="AU21" s="54">
        <f>IF($B21&gt;Parameters!$B$19,0,AT21*VLOOKUP(AT$7+$B21-1,'Mortality tables'!$A$5:$E$125,5,FALSE)*AU$5*AU$6)</f>
        <v>12531.19094846537</v>
      </c>
      <c r="AV21" s="93">
        <f>AV20*(1-VLOOKUP(AV$7+$B20-1,'Mortality tables'!$A$5:$E$125,5,FALSE))</f>
        <v>0.96436112973578281</v>
      </c>
      <c r="AW21" s="54">
        <f>IF($B21&gt;Parameters!$B$19,0,AV21*VLOOKUP(AV$7+$B21-1,'Mortality tables'!$A$5:$E$125,5,FALSE)*AW$5*AW$6)</f>
        <v>106436.53788893834</v>
      </c>
      <c r="AX21" s="93">
        <f>AX20*(1-VLOOKUP(AX$7+$B20-1,'Mortality tables'!$A$5:$E$125,5,FALSE))</f>
        <v>0.94988417851623719</v>
      </c>
      <c r="AY21" s="54">
        <f>IF($B21&gt;Parameters!$B$19,0,AX21*VLOOKUP(AX$7+$B21-1,'Mortality tables'!$A$5:$E$125,5,FALSE)*AY$5*AY$6)</f>
        <v>162820.02699313962</v>
      </c>
      <c r="AZ21" s="93">
        <f>AZ20*(1-VLOOKUP(AZ$7+$B20-1,'Mortality tables'!$A$5:$E$125,5,FALSE))</f>
        <v>0.93199998309841769</v>
      </c>
      <c r="BA21" s="54">
        <f>IF($B21&gt;Parameters!$B$19,0,AZ21*VLOOKUP(AZ$7+$B21-1,'Mortality tables'!$A$5:$E$125,5,FALSE)*BA$5*BA$6)</f>
        <v>8606.758883918621</v>
      </c>
      <c r="BB21" s="93">
        <f>BB20*(1-VLOOKUP(BB$7+$B20-1,'Mortality tables'!$A$5:$E$125,5,FALSE))</f>
        <v>0.9113362797251745</v>
      </c>
      <c r="BC21" s="54">
        <f>IF($B21&gt;Parameters!$B$19,0,BB21*VLOOKUP(BB$7+$B21-1,'Mortality tables'!$A$5:$E$125,5,FALSE)*BC$5*BC$6)</f>
        <v>2468.8099817754978</v>
      </c>
      <c r="BD21" s="92">
        <f>AA21*(1+Parameters!$B$54)</f>
        <v>12375.000000000002</v>
      </c>
      <c r="BE21" s="63">
        <f t="shared" si="3"/>
        <v>1327544.6152946483</v>
      </c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5"/>
    </row>
    <row r="22" spans="1:72">
      <c r="A22" s="57">
        <f t="shared" si="0"/>
        <v>2036</v>
      </c>
      <c r="B22" s="30">
        <f>A22-Parameters!$B$18+1</f>
        <v>15</v>
      </c>
      <c r="C22" s="93">
        <f>C21*(1-VLOOKUP(C$7+$B21-1,'Mortality tables'!$A$5:$E$125,2,FALSE))</f>
        <v>0.98480509030384722</v>
      </c>
      <c r="D22" s="37">
        <f>IF($B22&gt;Parameters!$B$19,0,C22*VLOOKUP(C$7+$B22-1,'Mortality tables'!$A$5:$B$125,2,FALSE)*D$5*D$6)</f>
        <v>4405.0331689291079</v>
      </c>
      <c r="E22" s="93">
        <f>E21*(1-VLOOKUP(E$7+$B21-1,'Mortality tables'!$A$5:$E$125,2,FALSE))</f>
        <v>0.98081239830181044</v>
      </c>
      <c r="F22" s="37">
        <f>IF($B22&gt;Parameters!$B$19,0,E22*VLOOKUP(E$7+$B22-1,'Mortality tables'!$A$5:$B$125,2,FALSE)*F$5*F$6)</f>
        <v>1314.6809386837465</v>
      </c>
      <c r="G22" s="93">
        <f>G21*(1-VLOOKUP(G$7+$B21-1,'Mortality tables'!$A$5:$E$125,2,FALSE))</f>
        <v>0.97274604539074028</v>
      </c>
      <c r="H22" s="37">
        <f>IF($B22&gt;Parameters!$B$19,0,G22*VLOOKUP(G$7+$B22-1,'Mortality tables'!$A$5:$B$125,2,FALSE)*H$5*H$6)</f>
        <v>2676.0243708699259</v>
      </c>
      <c r="I22" s="93">
        <f>I21*(1-VLOOKUP(I$7+$B21-1,'Mortality tables'!$A$5:$E$125,2,FALSE))</f>
        <v>0.95707901402123563</v>
      </c>
      <c r="J22" s="37">
        <f>IF($B22&gt;Parameters!$B$19,0,I22*VLOOKUP(I$7+$B22-1,'Mortality tables'!$A$5:$B$125,2,FALSE)*J$5*J$6)</f>
        <v>236704.78174773199</v>
      </c>
      <c r="K22" s="93">
        <f>K21*(1-VLOOKUP(K$7+$B21-1,'Mortality tables'!$A$5:$E$125,2,FALSE))</f>
        <v>0.92996745008817261</v>
      </c>
      <c r="L22" s="37">
        <f>IF($B22&gt;Parameters!$B$19,0,K22*VLOOKUP(K$7+$B22-1,'Mortality tables'!$A$5:$B$125,2,FALSE)*L$5*L$6)</f>
        <v>372433.36441131134</v>
      </c>
      <c r="M22" s="93">
        <f>M21*(1-VLOOKUP(M$7+$B21-1,'Mortality tables'!$A$5:$E$125,2,FALSE))</f>
        <v>0.88956475894156117</v>
      </c>
      <c r="N22" s="37">
        <f>IF($B22&gt;Parameters!$B$19,0,M22*VLOOKUP(M$7+$B22-1,'Mortality tables'!$A$5:$B$125,2,FALSE)*N$5*N$6)</f>
        <v>311489.9959909771</v>
      </c>
      <c r="O22" s="93">
        <f>O21*(1-VLOOKUP(O$7+$A22-Parameters!$B$18-1,'Mortality tables'!$A$5:$E$125,3,FALSE))</f>
        <v>0.98416367171810992</v>
      </c>
      <c r="P22" s="41">
        <f>IF($B22&gt;Parameters!$B$19,0,O22*VLOOKUP(O$7+$B22-1,'Mortality tables'!$A$5:$C$125,3,FALSE)*P$5*P$6)</f>
        <v>1907.309195789697</v>
      </c>
      <c r="Q22" s="93">
        <f>Q21*(1-VLOOKUP(Q$7+$A22-Parameters!$B$18-1,'Mortality tables'!$A$5:$E$125,3,FALSE))</f>
        <v>0.97673047022137605</v>
      </c>
      <c r="R22" s="37">
        <f>IF($B22&gt;Parameters!$B$19,0,Q22*VLOOKUP(Q$7+$B22-1,'Mortality tables'!$A$5:$C$125,3,FALSE)*R$5*R$6)</f>
        <v>11236.917785970596</v>
      </c>
      <c r="S22" s="93">
        <f>S21*(1-VLOOKUP(S$7+$A22-Parameters!$B$18-1,'Mortality tables'!$A$5:$E$125,3,FALSE))</f>
        <v>0.96664937811203933</v>
      </c>
      <c r="T22" s="37">
        <f>IF($B22&gt;Parameters!$B$19,0,S22*VLOOKUP(S$7+'TA projections'!$A22-Parameters!$B$18,'Mortality tables'!$A$5:$C$125,3,FALSE)*T$5*T$6)</f>
        <v>94949.135165055064</v>
      </c>
      <c r="U22" s="93">
        <f>U21*(1-VLOOKUP(U$7+$A22-Parameters!$B$18-1,'Mortality tables'!$A$5:$E$125,3,FALSE))</f>
        <v>0.95327145008612202</v>
      </c>
      <c r="V22" s="37">
        <f>IF($B22&gt;Parameters!$B$19,0,U22*VLOOKUP(U$7+'TA projections'!$A22-Parameters!$B$18,'Mortality tables'!$A$5:$C$125,3,FALSE)*V$5*V$6)</f>
        <v>143855.81135387145</v>
      </c>
      <c r="W22" s="93">
        <f>W21*(1-VLOOKUP(W$7+$A22-Parameters!$B$18-1,'Mortality tables'!$A$5:$E$125,3,FALSE))</f>
        <v>0.93698197999088884</v>
      </c>
      <c r="X22" s="37">
        <f>IF($B22&gt;Parameters!$B$19,0,W22*VLOOKUP(W$7+'TA projections'!$A22-Parameters!$B$18,'Mortality tables'!$A$5:$C$125,3,FALSE)*X$5*X$6)</f>
        <v>7501.8525245990531</v>
      </c>
      <c r="Y22" s="93">
        <f>Y21*(1-VLOOKUP(Y$7+$A22-Parameters!$B$18-1,'Mortality tables'!$A$5:$E$125,3,FALSE))</f>
        <v>0.91723414105722112</v>
      </c>
      <c r="Z22" s="37">
        <f>IF($B22&gt;Parameters!$B$19,0,Y22*VLOOKUP(Y$7+'TA projections'!$A22-Parameters!$B$18,'Mortality tables'!$A$5:$C$125,3,FALSE)*Z$5*Z$6)</f>
        <v>2263.7338601292217</v>
      </c>
      <c r="AA22" s="92">
        <f>IF(B22&gt;Parameters!$B$19,0,SUM(Parameters!$C$5:$C$16)*Parameters!$B$46)</f>
        <v>11250</v>
      </c>
      <c r="AB22" s="63">
        <f t="shared" si="1"/>
        <v>1201988.6405139184</v>
      </c>
      <c r="AD22" s="57">
        <f t="shared" si="2"/>
        <v>2036</v>
      </c>
      <c r="AE22" s="30">
        <f>AD22-Parameters!$B$18+1</f>
        <v>15</v>
      </c>
      <c r="AF22" s="93">
        <f>AF21*(1-VLOOKUP(AF$7+$B21-1,'Mortality tables'!$A$5:$E$125,4,FALSE))</f>
        <v>0.98179191464183535</v>
      </c>
      <c r="AG22" s="37">
        <f>IF($B22&gt;Parameters!$B$19,0,AF22*VLOOKUP(AF$7+$B22-1,'Mortality tables'!$A$5:$E$125,4,FALSE)*AG$5*AG$6)</f>
        <v>5269.8662810315145</v>
      </c>
      <c r="AH22" s="93">
        <f>AH21*(1-VLOOKUP(AH$7+$B21-1,'Mortality tables'!$A$5:$E$125,4,FALSE))</f>
        <v>0.97701598177448146</v>
      </c>
      <c r="AI22" s="37">
        <f>IF($B22&gt;Parameters!$B$19,0,AH22*VLOOKUP(AH$7+$B22-1,'Mortality tables'!$A$5:$E$125,4,FALSE)*AI$5*AI$6)</f>
        <v>1571.5106663646177</v>
      </c>
      <c r="AJ22" s="93">
        <f>AJ21*(1-VLOOKUP(AJ$7+$B21-1,'Mortality tables'!$A$5:$E$125,4,FALSE))</f>
        <v>0.96737801104551713</v>
      </c>
      <c r="AK22" s="37">
        <f>IF($B22&gt;Parameters!$B$19,0,AJ22*VLOOKUP(AJ$7+$B22-1,'Mortality tables'!$A$5:$E$125,4,FALSE)*AK$5*AK$6)</f>
        <v>3193.5082900634611</v>
      </c>
      <c r="AL22" s="93">
        <f>AL21*(1-VLOOKUP(AL$7+$B21-1,'Mortality tables'!$A$5:$E$125,4,FALSE))</f>
        <v>0.94870034161129102</v>
      </c>
      <c r="AM22" s="37">
        <f>IF($B22&gt;Parameters!$B$19,0,AL22*VLOOKUP(AL$7+$B22-1,'Mortality tables'!$A$5:$E$125,4,FALSE)*AM$5*AM$6)</f>
        <v>281559.08218476537</v>
      </c>
      <c r="AN22" s="93">
        <f>AN21*(1-VLOOKUP(AN$7+$B21-1,'Mortality tables'!$A$5:$E$125,4,FALSE))</f>
        <v>0.9165124713787921</v>
      </c>
      <c r="AO22" s="37">
        <f>IF($B22&gt;Parameters!$B$19,0,AN22*VLOOKUP(AN$7+$B22-1,'Mortality tables'!$A$5:$E$125,4,FALSE)*AO$5*AO$6)</f>
        <v>440453.89744533441</v>
      </c>
      <c r="AP22" s="93">
        <f>AP21*(1-VLOOKUP(AP$7+$B21-1,'Mortality tables'!$A$5:$E$125,4,FALSE))</f>
        <v>0.86887032134045261</v>
      </c>
      <c r="AQ22" s="37">
        <f>IF($B22&gt;Parameters!$B$19,0,AP22*VLOOKUP(AP$7+$B22-1,'Mortality tables'!$A$5:$E$125,4,FALSE)*AQ$5*AQ$6)</f>
        <v>365092.35806468746</v>
      </c>
      <c r="AR22" s="93">
        <f>AR21*(1-VLOOKUP(AR$7+$B21-1,'Mortality tables'!$A$5:$E$125,5,FALSE))</f>
        <v>0.98102425695886686</v>
      </c>
      <c r="AS22" s="41">
        <f>IF($B22&gt;Parameters!$B$19,0,AR22*VLOOKUP(AR$7+$B22-1,'Mortality tables'!$A$5:$E$125,5,FALSE)*AS$5*AS$6)</f>
        <v>2281.4700119835406</v>
      </c>
      <c r="AT22" s="93">
        <f>AT21*(1-VLOOKUP(AT$7+$B21-1,'Mortality tables'!$A$5:$E$125,5,FALSE))</f>
        <v>0.9721369147890857</v>
      </c>
      <c r="AU22" s="54">
        <f>IF($B22&gt;Parameters!$B$19,0,AT22*VLOOKUP(AT$7+$B22-1,'Mortality tables'!$A$5:$E$125,5,FALSE)*AU$5*AU$6)</f>
        <v>13420.88478396646</v>
      </c>
      <c r="AV22" s="93">
        <f>AV21*(1-VLOOKUP(AV$7+$B21-1,'Mortality tables'!$A$5:$E$125,5,FALSE))</f>
        <v>0.96010366822022519</v>
      </c>
      <c r="AW22" s="54">
        <f>IF($B22&gt;Parameters!$B$19,0,AV22*VLOOKUP(AV$7+$B22-1,'Mortality tables'!$A$5:$E$125,5,FALSE)*AW$5*AW$6)</f>
        <v>113167.41937311794</v>
      </c>
      <c r="AX22" s="93">
        <f>AX21*(1-VLOOKUP(AX$7+$B21-1,'Mortality tables'!$A$5:$E$125,5,FALSE))</f>
        <v>0.94417119511296921</v>
      </c>
      <c r="AY22" s="54">
        <f>IF($B22&gt;Parameters!$B$19,0,AX22*VLOOKUP(AX$7+$B22-1,'Mortality tables'!$A$5:$E$125,5,FALSE)*AY$5*AY$6)</f>
        <v>170979.01755181249</v>
      </c>
      <c r="AZ22" s="93">
        <f>AZ21*(1-VLOOKUP(AZ$7+$B21-1,'Mortality tables'!$A$5:$E$125,5,FALSE))</f>
        <v>0.92482768402848547</v>
      </c>
      <c r="BA22" s="54">
        <f>IF($B22&gt;Parameters!$B$19,0,AZ22*VLOOKUP(AZ$7+$B22-1,'Mortality tables'!$A$5:$E$125,5,FALSE)*BA$5*BA$6)</f>
        <v>8885.4484432867994</v>
      </c>
      <c r="BB22" s="93">
        <f>BB21*(1-VLOOKUP(BB$7+$B21-1,'Mortality tables'!$A$5:$E$125,5,FALSE))</f>
        <v>0.90146103979807257</v>
      </c>
      <c r="BC22" s="54">
        <f>IF($B22&gt;Parameters!$B$19,0,BB22*VLOOKUP(BB$7+$B22-1,'Mortality tables'!$A$5:$E$125,5,FALSE)*BC$5*BC$6)</f>
        <v>2669.7670154659718</v>
      </c>
      <c r="BD22" s="92">
        <f>AA22*(1+Parameters!$B$54)</f>
        <v>12375.000000000002</v>
      </c>
      <c r="BE22" s="63">
        <f t="shared" si="3"/>
        <v>1420919.2301118802</v>
      </c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5"/>
    </row>
    <row r="23" spans="1:72">
      <c r="A23" s="57">
        <f t="shared" si="0"/>
        <v>2037</v>
      </c>
      <c r="B23" s="30">
        <f>A23-Parameters!$B$18+1</f>
        <v>16</v>
      </c>
      <c r="C23" s="93">
        <f>C22*(1-VLOOKUP(C$7+$B22-1,'Mortality tables'!$A$5:$E$125,2,FALSE))</f>
        <v>0.98333674591420417</v>
      </c>
      <c r="D23" s="37">
        <f>IF($B23&gt;Parameters!$B$19,0,C23*VLOOKUP(C$7+$B23-1,'Mortality tables'!$A$5:$B$125,2,FALSE)*D$5*D$6)</f>
        <v>4720.0163803881806</v>
      </c>
      <c r="E23" s="93">
        <f>E22*(1-VLOOKUP(E$7+$B22-1,'Mortality tables'!$A$5:$E$125,2,FALSE))</f>
        <v>0.97862126340400424</v>
      </c>
      <c r="F23" s="37">
        <f>IF($B23&gt;Parameters!$B$19,0,E23*VLOOKUP(E$7+$B23-1,'Mortality tables'!$A$5:$B$125,2,FALSE)*F$5*F$6)</f>
        <v>1440.9219482360561</v>
      </c>
      <c r="G23" s="93">
        <f>G22*(1-VLOOKUP(G$7+$B22-1,'Mortality tables'!$A$5:$E$125,2,FALSE))</f>
        <v>0.96917801289624705</v>
      </c>
      <c r="H23" s="37">
        <f>IF($B23&gt;Parameters!$B$19,0,G23*VLOOKUP(G$7+$B23-1,'Mortality tables'!$A$5:$B$125,2,FALSE)*H$5*H$6)</f>
        <v>2959.8696513851387</v>
      </c>
      <c r="I23" s="93">
        <f>I22*(1-VLOOKUP(I$7+$B22-1,'Mortality tables'!$A$5:$E$125,2,FALSE))</f>
        <v>0.95116139447754233</v>
      </c>
      <c r="J23" s="37">
        <f>IF($B23&gt;Parameters!$B$19,0,I23*VLOOKUP(I$7+$B23-1,'Mortality tables'!$A$5:$B$125,2,FALSE)*J$5*J$6)</f>
        <v>260427.98980795112</v>
      </c>
      <c r="K23" s="93">
        <f>K22*(1-VLOOKUP(K$7+$B22-1,'Mortality tables'!$A$5:$E$125,2,FALSE))</f>
        <v>0.92065661597788984</v>
      </c>
      <c r="L23" s="37">
        <f>IF($B23&gt;Parameters!$B$19,0,K23*VLOOKUP(K$7+$B23-1,'Mortality tables'!$A$5:$B$125,2,FALSE)*L$5*L$6)</f>
        <v>401774.54721275112</v>
      </c>
      <c r="M23" s="93">
        <f>M22*(1-VLOOKUP(M$7+$B22-1,'Mortality tables'!$A$5:$E$125,2,FALSE))</f>
        <v>0.87658600910860385</v>
      </c>
      <c r="N23" s="37">
        <f>IF($B23&gt;Parameters!$B$19,0,M23*VLOOKUP(M$7+$B23-1,'Mortality tables'!$A$5:$B$125,2,FALSE)*N$5*N$6)</f>
        <v>324974.9779848145</v>
      </c>
      <c r="O23" s="93">
        <f>O22*(1-VLOOKUP(O$7+$A23-Parameters!$B$18-1,'Mortality tables'!$A$5:$E$125,3,FALSE))</f>
        <v>0.98225636252232018</v>
      </c>
      <c r="P23" s="41">
        <f>IF($B23&gt;Parameters!$B$19,0,O23*VLOOKUP(O$7+$B23-1,'Mortality tables'!$A$5:$C$125,3,FALSE)*P$5*P$6)</f>
        <v>2048.9867722215604</v>
      </c>
      <c r="Q23" s="93">
        <f>Q22*(1-VLOOKUP(Q$7+$A23-Parameters!$B$18-1,'Mortality tables'!$A$5:$E$125,3,FALSE))</f>
        <v>0.97400636893992854</v>
      </c>
      <c r="R23" s="37">
        <f>IF($B23&gt;Parameters!$B$19,0,Q23*VLOOKUP(Q$7+$B23-1,'Mortality tables'!$A$5:$C$125,3,FALSE)*R$5*R$6)</f>
        <v>12029.222158000353</v>
      </c>
      <c r="S23" s="93">
        <f>S22*(1-VLOOKUP(S$7+$A23-Parameters!$B$18-1,'Mortality tables'!$A$5:$E$125,3,FALSE))</f>
        <v>0.96285141270543717</v>
      </c>
      <c r="T23" s="37">
        <f>IF($B23&gt;Parameters!$B$19,0,S23*VLOOKUP(S$7+'TA projections'!$A23-Parameters!$B$18,'Mortality tables'!$A$5:$C$125,3,FALSE)*T$5*T$6)</f>
        <v>100810.54291025926</v>
      </c>
      <c r="U23" s="93">
        <f>U22*(1-VLOOKUP(U$7+$A23-Parameters!$B$18-1,'Mortality tables'!$A$5:$E$125,3,FALSE))</f>
        <v>0.94822387775791594</v>
      </c>
      <c r="V23" s="37">
        <f>IF($B23&gt;Parameters!$B$19,0,U23*VLOOKUP(U$7+'TA projections'!$A23-Parameters!$B$18,'Mortality tables'!$A$5:$C$125,3,FALSE)*V$5*V$6)</f>
        <v>150796.04327984137</v>
      </c>
      <c r="W23" s="93">
        <f>W22*(1-VLOOKUP(W$7+$A23-Parameters!$B$18-1,'Mortality tables'!$A$5:$E$125,3,FALSE))</f>
        <v>0.93073043622038965</v>
      </c>
      <c r="X23" s="37">
        <f>IF($B23&gt;Parameters!$B$19,0,W23*VLOOKUP(W$7+'TA projections'!$A23-Parameters!$B$18,'Mortality tables'!$A$5:$C$125,3,FALSE)*X$5*X$6)</f>
        <v>7727.6686658506515</v>
      </c>
      <c r="Y23" s="93">
        <f>Y22*(1-VLOOKUP(Y$7+$A23-Parameters!$B$18-1,'Mortality tables'!$A$5:$E$125,3,FALSE))</f>
        <v>0.90817920561670429</v>
      </c>
      <c r="Z23" s="37">
        <f>IF($B23&gt;Parameters!$B$19,0,Y23*VLOOKUP(Y$7+'TA projections'!$A23-Parameters!$B$18,'Mortality tables'!$A$5:$C$125,3,FALSE)*Z$5*Z$6)</f>
        <v>2448.4511383426347</v>
      </c>
      <c r="AA23" s="92">
        <f>IF(B23&gt;Parameters!$B$19,0,SUM(Parameters!$C$5:$C$16)*Parameters!$B$46)</f>
        <v>11250</v>
      </c>
      <c r="AB23" s="63">
        <f t="shared" si="1"/>
        <v>1283409.2379100421</v>
      </c>
      <c r="AD23" s="57">
        <f t="shared" si="2"/>
        <v>2037</v>
      </c>
      <c r="AE23" s="30">
        <f>AD23-Parameters!$B$18+1</f>
        <v>16</v>
      </c>
      <c r="AF23" s="93">
        <f>AF22*(1-VLOOKUP(AF$7+$B22-1,'Mortality tables'!$A$5:$E$125,4,FALSE))</f>
        <v>0.98003529254815813</v>
      </c>
      <c r="AG23" s="37">
        <f>IF($B23&gt;Parameters!$B$19,0,AF23*VLOOKUP(AF$7+$B23-1,'Mortality tables'!$A$5:$E$125,4,FALSE)*AG$5*AG$6)</f>
        <v>5645.0032850773914</v>
      </c>
      <c r="AH23" s="93">
        <f>AH22*(1-VLOOKUP(AH$7+$B22-1,'Mortality tables'!$A$5:$E$125,4,FALSE))</f>
        <v>0.97439679733054041</v>
      </c>
      <c r="AI23" s="37">
        <f>IF($B23&gt;Parameters!$B$19,0,AH23*VLOOKUP(AH$7+$B23-1,'Mortality tables'!$A$5:$E$125,4,FALSE)*AI$5*AI$6)</f>
        <v>1721.6422132673849</v>
      </c>
      <c r="AJ23" s="93">
        <f>AJ22*(1-VLOOKUP(AJ$7+$B22-1,'Mortality tables'!$A$5:$E$125,4,FALSE))</f>
        <v>0.96311999999209918</v>
      </c>
      <c r="AK23" s="37">
        <f>IF($B23&gt;Parameters!$B$19,0,AJ23*VLOOKUP(AJ$7+$B23-1,'Mortality tables'!$A$5:$E$125,4,FALSE)*AK$5*AK$6)</f>
        <v>3529.6421759710452</v>
      </c>
      <c r="AL23" s="93">
        <f>AL22*(1-VLOOKUP(AL$7+$B22-1,'Mortality tables'!$A$5:$E$125,4,FALSE))</f>
        <v>0.94166136455667193</v>
      </c>
      <c r="AM23" s="37">
        <f>IF($B23&gt;Parameters!$B$19,0,AL23*VLOOKUP(AL$7+$B23-1,'Mortality tables'!$A$5:$E$125,4,FALSE)*AM$5*AM$6)</f>
        <v>309392.25793874019</v>
      </c>
      <c r="AN23" s="93">
        <f>AN22*(1-VLOOKUP(AN$7+$B22-1,'Mortality tables'!$A$5:$E$125,4,FALSE))</f>
        <v>0.9055011239426588</v>
      </c>
      <c r="AO23" s="37">
        <f>IF($B23&gt;Parameters!$B$19,0,AN23*VLOOKUP(AN$7+$B23-1,'Mortality tables'!$A$5:$E$125,4,FALSE)*AO$5*AO$6)</f>
        <v>474192.82858629152</v>
      </c>
      <c r="AP23" s="93">
        <f>AP22*(1-VLOOKUP(AP$7+$B22-1,'Mortality tables'!$A$5:$E$125,4,FALSE))</f>
        <v>0.85365813975442395</v>
      </c>
      <c r="AQ23" s="37">
        <f>IF($B23&gt;Parameters!$B$19,0,AP23*VLOOKUP(AP$7+$B23-1,'Mortality tables'!$A$5:$E$125,4,FALSE)*AQ$5*AQ$6)</f>
        <v>379769.9698018537</v>
      </c>
      <c r="AR23" s="93">
        <f>AR22*(1-VLOOKUP(AR$7+$B22-1,'Mortality tables'!$A$5:$E$125,5,FALSE))</f>
        <v>0.97874278694688333</v>
      </c>
      <c r="AS23" s="41">
        <f>IF($B23&gt;Parameters!$B$19,0,AR23*VLOOKUP(AR$7+$B23-1,'Mortality tables'!$A$5:$E$125,5,FALSE)*AS$5*AS$6)</f>
        <v>2449.9889442854387</v>
      </c>
      <c r="AT23" s="93">
        <f>AT22*(1-VLOOKUP(AT$7+$B22-1,'Mortality tables'!$A$5:$E$125,5,FALSE))</f>
        <v>0.96888336696266963</v>
      </c>
      <c r="AU23" s="54">
        <f>IF($B23&gt;Parameters!$B$19,0,AT23*VLOOKUP(AT$7+$B23-1,'Mortality tables'!$A$5:$E$125,5,FALSE)*AU$5*AU$6)</f>
        <v>14359.142163396855</v>
      </c>
      <c r="AV23" s="93">
        <f>AV22*(1-VLOOKUP(AV$7+$B22-1,'Mortality tables'!$A$5:$E$125,5,FALSE))</f>
        <v>0.9555769714453004</v>
      </c>
      <c r="AW23" s="54">
        <f>IF($B23&gt;Parameters!$B$19,0,AV23*VLOOKUP(AV$7+$B23-1,'Mortality tables'!$A$5:$E$125,5,FALSE)*AW$5*AW$6)</f>
        <v>120058.69069238755</v>
      </c>
      <c r="AX23" s="93">
        <f>AX22*(1-VLOOKUP(AX$7+$B22-1,'Mortality tables'!$A$5:$E$125,5,FALSE))</f>
        <v>0.93817193133922139</v>
      </c>
      <c r="AY23" s="54">
        <f>IF($B23&gt;Parameters!$B$19,0,AX23*VLOOKUP(AX$7+$B23-1,'Mortality tables'!$A$5:$E$125,5,FALSE)*AY$5*AY$6)</f>
        <v>179036.97868905164</v>
      </c>
      <c r="AZ23" s="93">
        <f>AZ22*(1-VLOOKUP(AZ$7+$B22-1,'Mortality tables'!$A$5:$E$125,5,FALSE))</f>
        <v>0.91742314365907984</v>
      </c>
      <c r="BA23" s="54">
        <f>IF($B23&gt;Parameters!$B$19,0,AZ23*VLOOKUP(AZ$7+$B23-1,'Mortality tables'!$A$5:$E$125,5,FALSE)*BA$5*BA$6)</f>
        <v>9140.6170526071292</v>
      </c>
      <c r="BB23" s="93">
        <f>BB22*(1-VLOOKUP(BB$7+$B22-1,'Mortality tables'!$A$5:$E$125,5,FALSE))</f>
        <v>0.89078197173620866</v>
      </c>
      <c r="BC23" s="54">
        <f>IF($B23&gt;Parameters!$B$19,0,BB23*VLOOKUP(BB$7+$B23-1,'Mortality tables'!$A$5:$E$125,5,FALSE)*BC$5*BC$6)</f>
        <v>2881.8578349609825</v>
      </c>
      <c r="BD23" s="92">
        <f>AA23*(1+Parameters!$B$54)</f>
        <v>12375.000000000002</v>
      </c>
      <c r="BE23" s="63">
        <f t="shared" si="3"/>
        <v>1514553.6193778911</v>
      </c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5"/>
    </row>
    <row r="24" spans="1:72">
      <c r="A24" s="57">
        <f t="shared" si="0"/>
        <v>2038</v>
      </c>
      <c r="B24" s="30">
        <f>A24-Parameters!$B$18+1</f>
        <v>17</v>
      </c>
      <c r="C24" s="93">
        <f>C23*(1-VLOOKUP(C$7+$B23-1,'Mortality tables'!$A$5:$E$125,2,FALSE))</f>
        <v>0.98176340712074139</v>
      </c>
      <c r="D24" s="37">
        <f>IF($B24&gt;Parameters!$B$19,0,C24*VLOOKUP(C$7+$B24-1,'Mortality tables'!$A$5:$B$125,2,FALSE)*D$5*D$6)</f>
        <v>5083.5709220711988</v>
      </c>
      <c r="E24" s="93">
        <f>E23*(1-VLOOKUP(E$7+$B23-1,'Mortality tables'!$A$5:$E$125,2,FALSE))</f>
        <v>0.9762197268236108</v>
      </c>
      <c r="F24" s="37">
        <f>IF($B24&gt;Parameters!$B$19,0,E24*VLOOKUP(E$7+$B24-1,'Mortality tables'!$A$5:$B$125,2,FALSE)*F$5*F$6)</f>
        <v>1583.8188847986262</v>
      </c>
      <c r="G24" s="93">
        <f>G23*(1-VLOOKUP(G$7+$B23-1,'Mortality tables'!$A$5:$E$125,2,FALSE))</f>
        <v>0.9652315200277336</v>
      </c>
      <c r="H24" s="37">
        <f>IF($B24&gt;Parameters!$B$19,0,G24*VLOOKUP(G$7+$B24-1,'Mortality tables'!$A$5:$B$125,2,FALSE)*H$5*H$6)</f>
        <v>3274.3066238140796</v>
      </c>
      <c r="I24" s="93">
        <f>I23*(1-VLOOKUP(I$7+$B23-1,'Mortality tables'!$A$5:$E$125,2,FALSE))</f>
        <v>0.94465069473234353</v>
      </c>
      <c r="J24" s="37">
        <f>IF($B24&gt;Parameters!$B$19,0,I24*VLOOKUP(I$7+$B24-1,'Mortality tables'!$A$5:$B$125,2,FALSE)*J$5*J$6)</f>
        <v>285737.94214263925</v>
      </c>
      <c r="K24" s="93">
        <f>K23*(1-VLOOKUP(K$7+$B23-1,'Mortality tables'!$A$5:$E$125,2,FALSE))</f>
        <v>0.91061225229757103</v>
      </c>
      <c r="L24" s="37">
        <f>IF($B24&gt;Parameters!$B$19,0,K24*VLOOKUP(K$7+$B24-1,'Mortality tables'!$A$5:$B$125,2,FALSE)*L$5*L$6)</f>
        <v>430938.14227730257</v>
      </c>
      <c r="M24" s="93">
        <f>M23*(1-VLOOKUP(M$7+$B23-1,'Mortality tables'!$A$5:$E$125,2,FALSE))</f>
        <v>0.86304538502590322</v>
      </c>
      <c r="N24" s="37">
        <f>IF($B24&gt;Parameters!$B$19,0,M24*VLOOKUP(M$7+$B24-1,'Mortality tables'!$A$5:$B$125,2,FALSE)*N$5*N$6)</f>
        <v>355768.02079691796</v>
      </c>
      <c r="O24" s="93">
        <f>O23*(1-VLOOKUP(O$7+$A24-Parameters!$B$18-1,'Mortality tables'!$A$5:$E$125,3,FALSE))</f>
        <v>0.98020737575009864</v>
      </c>
      <c r="P24" s="41">
        <f>IF($B24&gt;Parameters!$B$19,0,O24*VLOOKUP(O$7+$B24-1,'Mortality tables'!$A$5:$C$125,3,FALSE)*P$5*P$6)</f>
        <v>2199.5853511832215</v>
      </c>
      <c r="Q24" s="93">
        <f>Q23*(1-VLOOKUP(Q$7+$A24-Parameters!$B$18-1,'Mortality tables'!$A$5:$E$125,3,FALSE))</f>
        <v>0.97109019387132234</v>
      </c>
      <c r="R24" s="37">
        <f>IF($B24&gt;Parameters!$B$19,0,Q24*VLOOKUP(Q$7+$B24-1,'Mortality tables'!$A$5:$C$125,3,FALSE)*R$5*R$6)</f>
        <v>12862.453776648365</v>
      </c>
      <c r="S24" s="93">
        <f>S23*(1-VLOOKUP(S$7+$A24-Parameters!$B$18-1,'Mortality tables'!$A$5:$E$125,3,FALSE))</f>
        <v>0.95881899098902679</v>
      </c>
      <c r="T24" s="37">
        <f>IF($B24&gt;Parameters!$B$19,0,S24*VLOOKUP(S$7+'TA projections'!$A24-Parameters!$B$18,'Mortality tables'!$A$5:$C$125,3,FALSE)*T$5*T$6)</f>
        <v>106812.43559617759</v>
      </c>
      <c r="U24" s="93">
        <f>U23*(1-VLOOKUP(U$7+$A24-Parameters!$B$18-1,'Mortality tables'!$A$5:$E$125,3,FALSE))</f>
        <v>0.94293278852002671</v>
      </c>
      <c r="V24" s="37">
        <f>IF($B24&gt;Parameters!$B$19,0,U24*VLOOKUP(U$7+'TA projections'!$A24-Parameters!$B$18,'Mortality tables'!$A$5:$C$125,3,FALSE)*V$5*V$6)</f>
        <v>157559.82576414812</v>
      </c>
      <c r="W24" s="93">
        <f>W23*(1-VLOOKUP(W$7+$A24-Parameters!$B$18-1,'Mortality tables'!$A$5:$E$125,3,FALSE))</f>
        <v>0.92429071233218074</v>
      </c>
      <c r="X24" s="37">
        <f>IF($B24&gt;Parameters!$B$19,0,W24*VLOOKUP(W$7+'TA projections'!$A24-Parameters!$B$18,'Mortality tables'!$A$5:$C$125,3,FALSE)*X$5*X$6)</f>
        <v>8378.5104491487527</v>
      </c>
      <c r="Y24" s="93">
        <f>Y23*(1-VLOOKUP(Y$7+$A24-Parameters!$B$18-1,'Mortality tables'!$A$5:$E$125,3,FALSE))</f>
        <v>0.89838540106333376</v>
      </c>
      <c r="Z24" s="37">
        <f>IF($B24&gt;Parameters!$B$19,0,Y24*VLOOKUP(Y$7+'TA projections'!$A24-Parameters!$B$18,'Mortality tables'!$A$5:$C$125,3,FALSE)*Z$5*Z$6)</f>
        <v>2643.7236389791251</v>
      </c>
      <c r="AA24" s="92">
        <f>IF(B24&gt;Parameters!$B$19,0,SUM(Parameters!$C$5:$C$16)*Parameters!$B$46)</f>
        <v>11250</v>
      </c>
      <c r="AB24" s="63">
        <f t="shared" si="1"/>
        <v>1384092.3362238286</v>
      </c>
      <c r="AD24" s="57">
        <f t="shared" si="2"/>
        <v>2038</v>
      </c>
      <c r="AE24" s="30">
        <f>AD24-Parameters!$B$18+1</f>
        <v>17</v>
      </c>
      <c r="AF24" s="93">
        <f>AF23*(1-VLOOKUP(AF$7+$B23-1,'Mortality tables'!$A$5:$E$125,4,FALSE))</f>
        <v>0.97815362478646561</v>
      </c>
      <c r="AG24" s="37">
        <f>IF($B24&gt;Parameters!$B$19,0,AF24*VLOOKUP(AF$7+$B24-1,'Mortality tables'!$A$5:$E$125,4,FALSE)*AG$5*AG$6)</f>
        <v>6077.8553629731823</v>
      </c>
      <c r="AH24" s="93">
        <f>AH23*(1-VLOOKUP(AH$7+$B23-1,'Mortality tables'!$A$5:$E$125,4,FALSE))</f>
        <v>0.97152739364176144</v>
      </c>
      <c r="AI24" s="37">
        <f>IF($B24&gt;Parameters!$B$19,0,AH24*VLOOKUP(AH$7+$B24-1,'Mortality tables'!$A$5:$E$125,4,FALSE)*AI$5*AI$6)</f>
        <v>1891.4472521332723</v>
      </c>
      <c r="AJ24" s="93">
        <f>AJ23*(1-VLOOKUP(AJ$7+$B23-1,'Mortality tables'!$A$5:$E$125,4,FALSE))</f>
        <v>0.95841381042413787</v>
      </c>
      <c r="AK24" s="37">
        <f>IF($B24&gt;Parameters!$B$19,0,AJ24*VLOOKUP(AJ$7+$B24-1,'Mortality tables'!$A$5:$E$125,4,FALSE)*AK$5*AK$6)</f>
        <v>3901.4150980935387</v>
      </c>
      <c r="AL24" s="93">
        <f>AL23*(1-VLOOKUP(AL$7+$B23-1,'Mortality tables'!$A$5:$E$125,4,FALSE))</f>
        <v>0.93392655810820335</v>
      </c>
      <c r="AM24" s="37">
        <f>IF($B24&gt;Parameters!$B$19,0,AL24*VLOOKUP(AL$7+$B24-1,'Mortality tables'!$A$5:$E$125,4,FALSE)*AM$5*AM$6)</f>
        <v>338992.92635588319</v>
      </c>
      <c r="AN24" s="93">
        <f>AN23*(1-VLOOKUP(AN$7+$B23-1,'Mortality tables'!$A$5:$E$125,4,FALSE))</f>
        <v>0.89364630322800154</v>
      </c>
      <c r="AO24" s="37">
        <f>IF($B24&gt;Parameters!$B$19,0,AN24*VLOOKUP(AN$7+$B24-1,'Mortality tables'!$A$5:$E$125,4,FALSE)*AO$5*AO$6)</f>
        <v>507491.0118475433</v>
      </c>
      <c r="AP24" s="93">
        <f>AP23*(1-VLOOKUP(AP$7+$B23-1,'Mortality tables'!$A$5:$E$125,4,FALSE))</f>
        <v>0.83783439101268009</v>
      </c>
      <c r="AQ24" s="37">
        <f>IF($B24&gt;Parameters!$B$19,0,AP24*VLOOKUP(AP$7+$B24-1,'Mortality tables'!$A$5:$E$125,4,FALSE)*AQ$5*AQ$6)</f>
        <v>414450.53280097328</v>
      </c>
      <c r="AR24" s="93">
        <f>AR23*(1-VLOOKUP(AR$7+$B23-1,'Mortality tables'!$A$5:$E$125,5,FALSE))</f>
        <v>0.97629279800259783</v>
      </c>
      <c r="AS24" s="41">
        <f>IF($B24&gt;Parameters!$B$19,0,AR24*VLOOKUP(AR$7+$B24-1,'Mortality tables'!$A$5:$E$125,5,FALSE)*AS$5*AS$6)</f>
        <v>2628.9612464613956</v>
      </c>
      <c r="AT24" s="93">
        <f>AT23*(1-VLOOKUP(AT$7+$B23-1,'Mortality tables'!$A$5:$E$125,5,FALSE))</f>
        <v>0.96540236280184621</v>
      </c>
      <c r="AU24" s="54">
        <f>IF($B24&gt;Parameters!$B$19,0,AT24*VLOOKUP(AT$7+$B24-1,'Mortality tables'!$A$5:$E$125,5,FALSE)*AU$5*AU$6)</f>
        <v>15344.539585435803</v>
      </c>
      <c r="AV24" s="93">
        <f>AV23*(1-VLOOKUP(AV$7+$B23-1,'Mortality tables'!$A$5:$E$125,5,FALSE))</f>
        <v>0.95077462381760491</v>
      </c>
      <c r="AW24" s="54">
        <f>IF($B24&gt;Parameters!$B$19,0,AV24*VLOOKUP(AV$7+$B24-1,'Mortality tables'!$A$5:$E$125,5,FALSE)*AW$5*AW$6)</f>
        <v>127099.55171193743</v>
      </c>
      <c r="AX24" s="93">
        <f>AX23*(1-VLOOKUP(AX$7+$B23-1,'Mortality tables'!$A$5:$E$125,5,FALSE))</f>
        <v>0.9318899320869739</v>
      </c>
      <c r="AY24" s="54">
        <f>IF($B24&gt;Parameters!$B$19,0,AX24*VLOOKUP(AX$7+$B24-1,'Mortality tables'!$A$5:$E$125,5,FALSE)*AY$5*AY$6)</f>
        <v>186857.53697644672</v>
      </c>
      <c r="AZ24" s="93">
        <f>AZ23*(1-VLOOKUP(AZ$7+$B23-1,'Mortality tables'!$A$5:$E$125,5,FALSE))</f>
        <v>0.90980596278190717</v>
      </c>
      <c r="BA24" s="54">
        <f>IF($B24&gt;Parameters!$B$19,0,AZ24*VLOOKUP(AZ$7+$B24-1,'Mortality tables'!$A$5:$E$125,5,FALSE)*BA$5*BA$6)</f>
        <v>9896.650909710519</v>
      </c>
      <c r="BB24" s="93">
        <f>BB23*(1-VLOOKUP(BB$7+$B23-1,'Mortality tables'!$A$5:$E$125,5,FALSE))</f>
        <v>0.87925454039636475</v>
      </c>
      <c r="BC24" s="54">
        <f>IF($B24&gt;Parameters!$B$19,0,BB24*VLOOKUP(BB$7+$B24-1,'Mortality tables'!$A$5:$E$125,5,FALSE)*BC$5*BC$6)</f>
        <v>3104.9115585016825</v>
      </c>
      <c r="BD24" s="92">
        <f>AA24*(1+Parameters!$B$54)</f>
        <v>12375.000000000002</v>
      </c>
      <c r="BE24" s="63">
        <f t="shared" si="3"/>
        <v>1630112.3407060932</v>
      </c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5"/>
    </row>
    <row r="25" spans="1:72">
      <c r="A25" s="57">
        <f t="shared" si="0"/>
        <v>2039</v>
      </c>
      <c r="B25" s="30">
        <f>A25-Parameters!$B$18+1</f>
        <v>18</v>
      </c>
      <c r="C25" s="93">
        <f>C24*(1-VLOOKUP(C$7+$B24-1,'Mortality tables'!$A$5:$E$125,2,FALSE))</f>
        <v>0.98006888348005095</v>
      </c>
      <c r="D25" s="37">
        <f>IF($B25&gt;Parameters!$B$19,0,C25*VLOOKUP(C$7+$B25-1,'Mortality tables'!$A$5:$B$125,2,FALSE)*D$5*D$6)</f>
        <v>5507.0070562744068</v>
      </c>
      <c r="E25" s="93">
        <f>E24*(1-VLOOKUP(E$7+$B24-1,'Mortality tables'!$A$5:$E$125,2,FALSE))</f>
        <v>0.97358002868227966</v>
      </c>
      <c r="F25" s="37">
        <f>IF($B25&gt;Parameters!$B$19,0,E25*VLOOKUP(E$7+$B25-1,'Mortality tables'!$A$5:$B$125,2,FALSE)*F$5*F$6)</f>
        <v>1745.4342754215913</v>
      </c>
      <c r="G25" s="93">
        <f>G24*(1-VLOOKUP(G$7+$B24-1,'Mortality tables'!$A$5:$E$125,2,FALSE))</f>
        <v>0.96086577786264815</v>
      </c>
      <c r="H25" s="37">
        <f>IF($B25&gt;Parameters!$B$19,0,G25*VLOOKUP(G$7+$B25-1,'Mortality tables'!$A$5:$B$125,2,FALSE)*H$5*H$6)</f>
        <v>3619.821601653061</v>
      </c>
      <c r="I25" s="93">
        <f>I24*(1-VLOOKUP(I$7+$B24-1,'Mortality tables'!$A$5:$E$125,2,FALSE))</f>
        <v>0.93750724617877756</v>
      </c>
      <c r="J25" s="37">
        <f>IF($B25&gt;Parameters!$B$19,0,I25*VLOOKUP(I$7+$B25-1,'Mortality tables'!$A$5:$B$125,2,FALSE)*J$5*J$6)</f>
        <v>312414.91471661587</v>
      </c>
      <c r="K25" s="93">
        <f>K24*(1-VLOOKUP(K$7+$B24-1,'Mortality tables'!$A$5:$E$125,2,FALSE))</f>
        <v>0.89983879874063843</v>
      </c>
      <c r="L25" s="37">
        <f>IF($B25&gt;Parameters!$B$19,0,K25*VLOOKUP(K$7+$B25-1,'Mortality tables'!$A$5:$B$125,2,FALSE)*L$5*L$6)</f>
        <v>459385.7035330708</v>
      </c>
      <c r="M25" s="93">
        <f>M24*(1-VLOOKUP(M$7+$B24-1,'Mortality tables'!$A$5:$E$125,2,FALSE))</f>
        <v>0.84822171749269837</v>
      </c>
      <c r="N25" s="37">
        <f>IF($B25&gt;Parameters!$B$19,0,M25*VLOOKUP(M$7+$B25-1,'Mortality tables'!$A$5:$B$125,2,FALSE)*N$5*N$6)</f>
        <v>388499.1181591358</v>
      </c>
      <c r="O25" s="93">
        <f>O24*(1-VLOOKUP(O$7+$A25-Parameters!$B$18-1,'Mortality tables'!$A$5:$E$125,3,FALSE))</f>
        <v>0.97800779039891539</v>
      </c>
      <c r="P25" s="41">
        <f>IF($B25&gt;Parameters!$B$19,0,O25*VLOOKUP(O$7+$B25-1,'Mortality tables'!$A$5:$C$125,3,FALSE)*P$5*P$6)</f>
        <v>2360.9108060229819</v>
      </c>
      <c r="Q25" s="93">
        <f>Q24*(1-VLOOKUP(Q$7+$A25-Parameters!$B$18-1,'Mortality tables'!$A$5:$E$125,3,FALSE))</f>
        <v>0.96797202325880161</v>
      </c>
      <c r="R25" s="37">
        <f>IF($B25&gt;Parameters!$B$19,0,Q25*VLOOKUP(Q$7+$B25-1,'Mortality tables'!$A$5:$C$125,3,FALSE)*R$5*R$6)</f>
        <v>13731.530125446452</v>
      </c>
      <c r="S25" s="93">
        <f>S24*(1-VLOOKUP(S$7+$A25-Parameters!$B$18-1,'Mortality tables'!$A$5:$E$125,3,FALSE))</f>
        <v>0.95454649356517962</v>
      </c>
      <c r="T25" s="37">
        <f>IF($B25&gt;Parameters!$B$19,0,S25*VLOOKUP(S$7+'TA projections'!$A25-Parameters!$B$18,'Mortality tables'!$A$5:$C$125,3,FALSE)*T$5*T$6)</f>
        <v>112898.98652642161</v>
      </c>
      <c r="U25" s="93">
        <f>U24*(1-VLOOKUP(U$7+$A25-Parameters!$B$18-1,'Mortality tables'!$A$5:$E$125,3,FALSE))</f>
        <v>0.93740437358093387</v>
      </c>
      <c r="V25" s="37">
        <f>IF($B25&gt;Parameters!$B$19,0,U25*VLOOKUP(U$7+'TA projections'!$A25-Parameters!$B$18,'Mortality tables'!$A$5:$C$125,3,FALSE)*V$5*V$6)</f>
        <v>164089.82338222172</v>
      </c>
      <c r="W25" s="93">
        <f>W24*(1-VLOOKUP(W$7+$A25-Parameters!$B$18-1,'Mortality tables'!$A$5:$E$125,3,FALSE))</f>
        <v>0.91730862029122351</v>
      </c>
      <c r="X25" s="37">
        <f>IF($B25&gt;Parameters!$B$19,0,W25*VLOOKUP(W$7+'TA projections'!$A25-Parameters!$B$18,'Mortality tables'!$A$5:$C$125,3,FALSE)*X$5*X$6)</f>
        <v>9090.161503637908</v>
      </c>
      <c r="Y25" s="93">
        <f>Y24*(1-VLOOKUP(Y$7+$A25-Parameters!$B$18-1,'Mortality tables'!$A$5:$E$125,3,FALSE))</f>
        <v>0.88781050650741733</v>
      </c>
      <c r="Z25" s="37">
        <f>IF($B25&gt;Parameters!$B$19,0,Y25*VLOOKUP(Y$7+'TA projections'!$A25-Parameters!$B$18,'Mortality tables'!$A$5:$C$125,3,FALSE)*Z$5*Z$6)</f>
        <v>2851.6473469018242</v>
      </c>
      <c r="AA25" s="92">
        <f>IF(B25&gt;Parameters!$B$19,0,SUM(Parameters!$C$5:$C$16)*Parameters!$B$46)</f>
        <v>11250</v>
      </c>
      <c r="AB25" s="63">
        <f t="shared" si="1"/>
        <v>1487445.0590328239</v>
      </c>
      <c r="AD25" s="57">
        <f t="shared" si="2"/>
        <v>2039</v>
      </c>
      <c r="AE25" s="30">
        <f>AD25-Parameters!$B$18+1</f>
        <v>18</v>
      </c>
      <c r="AF25" s="93">
        <f>AF24*(1-VLOOKUP(AF$7+$B24-1,'Mortality tables'!$A$5:$E$125,4,FALSE))</f>
        <v>0.97612767299880787</v>
      </c>
      <c r="AG25" s="37">
        <f>IF($B25&gt;Parameters!$B$19,0,AF25*VLOOKUP(AF$7+$B25-1,'Mortality tables'!$A$5:$E$125,4,FALSE)*AG$5*AG$6)</f>
        <v>6581.8336734963623</v>
      </c>
      <c r="AH25" s="93">
        <f>AH24*(1-VLOOKUP(AH$7+$B24-1,'Mortality tables'!$A$5:$E$125,4,FALSE))</f>
        <v>0.96837498155487256</v>
      </c>
      <c r="AI25" s="37">
        <f>IF($B25&gt;Parameters!$B$19,0,AH25*VLOOKUP(AH$7+$B25-1,'Mortality tables'!$A$5:$E$125,4,FALSE)*AI$5*AI$6)</f>
        <v>2083.3232003178905</v>
      </c>
      <c r="AJ25" s="93">
        <f>AJ24*(1-VLOOKUP(AJ$7+$B24-1,'Mortality tables'!$A$5:$E$125,4,FALSE))</f>
        <v>0.95321192362667984</v>
      </c>
      <c r="AK25" s="37">
        <f>IF($B25&gt;Parameters!$B$19,0,AJ25*VLOOKUP(AJ$7+$B25-1,'Mortality tables'!$A$5:$E$125,4,FALSE)*AK$5*AK$6)</f>
        <v>4309.1851431391306</v>
      </c>
      <c r="AL25" s="93">
        <f>AL24*(1-VLOOKUP(AL$7+$B24-1,'Mortality tables'!$A$5:$E$125,4,FALSE))</f>
        <v>0.92545173494930622</v>
      </c>
      <c r="AM25" s="37">
        <f>IF($B25&gt;Parameters!$B$19,0,AL25*VLOOKUP(AL$7+$B25-1,'Mortality tables'!$A$5:$E$125,4,FALSE)*AM$5*AM$6)</f>
        <v>370077.04338540812</v>
      </c>
      <c r="AN25" s="93">
        <f>AN24*(1-VLOOKUP(AN$7+$B24-1,'Mortality tables'!$A$5:$E$125,4,FALSE))</f>
        <v>0.88095902793181291</v>
      </c>
      <c r="AO25" s="37">
        <f>IF($B25&gt;Parameters!$B$19,0,AN25*VLOOKUP(AN$7+$B25-1,'Mortality tables'!$A$5:$E$125,4,FALSE)*AO$5*AO$6)</f>
        <v>539696.64352769882</v>
      </c>
      <c r="AP25" s="93">
        <f>AP24*(1-VLOOKUP(AP$7+$B24-1,'Mortality tables'!$A$5:$E$125,4,FALSE))</f>
        <v>0.82056561881263945</v>
      </c>
      <c r="AQ25" s="37">
        <f>IF($B25&gt;Parameters!$B$19,0,AP25*VLOOKUP(AP$7+$B25-1,'Mortality tables'!$A$5:$E$125,4,FALSE)*AQ$5*AQ$6)</f>
        <v>450998.61895930785</v>
      </c>
      <c r="AR25" s="93">
        <f>AR24*(1-VLOOKUP(AR$7+$B24-1,'Mortality tables'!$A$5:$E$125,5,FALSE))</f>
        <v>0.97366383675613644</v>
      </c>
      <c r="AS25" s="41">
        <f>IF($B25&gt;Parameters!$B$19,0,AR25*VLOOKUP(AR$7+$B25-1,'Mortality tables'!$A$5:$E$125,5,FALSE)*AS$5*AS$6)</f>
        <v>2820.509402315176</v>
      </c>
      <c r="AT25" s="93">
        <f>AT24*(1-VLOOKUP(AT$7+$B24-1,'Mortality tables'!$A$5:$E$125,5,FALSE))</f>
        <v>0.9616824744174981</v>
      </c>
      <c r="AU25" s="54">
        <f>IF($B25&gt;Parameters!$B$19,0,AT25*VLOOKUP(AT$7+$B25-1,'Mortality tables'!$A$5:$E$125,5,FALSE)*AU$5*AU$6)</f>
        <v>16370.768846132791</v>
      </c>
      <c r="AV25" s="93">
        <f>AV24*(1-VLOOKUP(AV$7+$B24-1,'Mortality tables'!$A$5:$E$125,5,FALSE))</f>
        <v>0.94569064174912743</v>
      </c>
      <c r="AW25" s="54">
        <f>IF($B25&gt;Parameters!$B$19,0,AV25*VLOOKUP(AV$7+$B25-1,'Mortality tables'!$A$5:$E$125,5,FALSE)*AW$5*AW$6)</f>
        <v>134221.87278345364</v>
      </c>
      <c r="AX25" s="93">
        <f>AX24*(1-VLOOKUP(AX$7+$B24-1,'Mortality tables'!$A$5:$E$125,5,FALSE))</f>
        <v>0.92533352728078277</v>
      </c>
      <c r="AY25" s="54">
        <f>IF($B25&gt;Parameters!$B$19,0,AX25*VLOOKUP(AX$7+$B25-1,'Mortality tables'!$A$5:$E$125,5,FALSE)*AY$5*AY$6)</f>
        <v>194372.229539903</v>
      </c>
      <c r="AZ25" s="93">
        <f>AZ24*(1-VLOOKUP(AZ$7+$B24-1,'Mortality tables'!$A$5:$E$125,5,FALSE))</f>
        <v>0.90155875369048177</v>
      </c>
      <c r="BA25" s="54">
        <f>IF($B25&gt;Parameters!$B$19,0,AZ25*VLOOKUP(AZ$7+$B25-1,'Mortality tables'!$A$5:$E$125,5,FALSE)*BA$5*BA$6)</f>
        <v>10720.903950685439</v>
      </c>
      <c r="BB25" s="93">
        <f>BB24*(1-VLOOKUP(BB$7+$B24-1,'Mortality tables'!$A$5:$E$125,5,FALSE))</f>
        <v>0.86683489416235804</v>
      </c>
      <c r="BC25" s="54">
        <f>IF($B25&gt;Parameters!$B$19,0,BB25*VLOOKUP(BB$7+$B25-1,'Mortality tables'!$A$5:$E$125,5,FALSE)*BC$5*BC$6)</f>
        <v>3341.1284160593927</v>
      </c>
      <c r="BD25" s="92">
        <f>AA25*(1+Parameters!$B$54)</f>
        <v>12375.000000000002</v>
      </c>
      <c r="BE25" s="63">
        <f t="shared" si="3"/>
        <v>1747969.0608279174</v>
      </c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5"/>
    </row>
    <row r="26" spans="1:72">
      <c r="A26" s="57">
        <f t="shared" si="0"/>
        <v>2040</v>
      </c>
      <c r="B26" s="30">
        <f>A26-Parameters!$B$18+1</f>
        <v>19</v>
      </c>
      <c r="C26" s="93">
        <f>C25*(1-VLOOKUP(C$7+$B25-1,'Mortality tables'!$A$5:$E$125,2,FALSE))</f>
        <v>0.97823321446129274</v>
      </c>
      <c r="D26" s="37">
        <f>IF($B26&gt;Parameters!$B$19,0,C26*VLOOKUP(C$7+$B26-1,'Mortality tables'!$A$5:$B$125,2,FALSE)*D$5*D$6)</f>
        <v>5989.7219721464962</v>
      </c>
      <c r="E26" s="93">
        <f>E25*(1-VLOOKUP(E$7+$B25-1,'Mortality tables'!$A$5:$E$125,2,FALSE))</f>
        <v>0.970670971556577</v>
      </c>
      <c r="F26" s="37">
        <f>IF($B26&gt;Parameters!$B$19,0,E26*VLOOKUP(E$7+$B26-1,'Mortality tables'!$A$5:$B$125,2,FALSE)*F$5*F$6)</f>
        <v>1926.587744345494</v>
      </c>
      <c r="G26" s="93">
        <f>G25*(1-VLOOKUP(G$7+$B25-1,'Mortality tables'!$A$5:$E$125,2,FALSE))</f>
        <v>0.95603934906044408</v>
      </c>
      <c r="H26" s="37">
        <f>IF($B26&gt;Parameters!$B$19,0,G26*VLOOKUP(G$7+$B26-1,'Mortality tables'!$A$5:$B$125,2,FALSE)*H$5*H$6)</f>
        <v>3998.1565577707775</v>
      </c>
      <c r="I26" s="93">
        <f>I25*(1-VLOOKUP(I$7+$B25-1,'Mortality tables'!$A$5:$E$125,2,FALSE))</f>
        <v>0.92969687331086215</v>
      </c>
      <c r="J26" s="37">
        <f>IF($B26&gt;Parameters!$B$19,0,I26*VLOOKUP(I$7+$B26-1,'Mortality tables'!$A$5:$B$125,2,FALSE)*J$5*J$6)</f>
        <v>340269.05563177558</v>
      </c>
      <c r="K26" s="93">
        <f>K25*(1-VLOOKUP(K$7+$B25-1,'Mortality tables'!$A$5:$E$125,2,FALSE))</f>
        <v>0.88835415615231172</v>
      </c>
      <c r="L26" s="37">
        <f>IF($B26&gt;Parameters!$B$19,0,K26*VLOOKUP(K$7+$B26-1,'Mortality tables'!$A$5:$B$125,2,FALSE)*L$5*L$6)</f>
        <v>486427.20174275985</v>
      </c>
      <c r="M26" s="93">
        <f>M25*(1-VLOOKUP(M$7+$B25-1,'Mortality tables'!$A$5:$E$125,2,FALSE))</f>
        <v>0.83203425423606769</v>
      </c>
      <c r="N26" s="37">
        <f>IF($B26&gt;Parameters!$B$19,0,M26*VLOOKUP(M$7+$B26-1,'Mortality tables'!$A$5:$B$125,2,FALSE)*N$5*N$6)</f>
        <v>423299.09091110789</v>
      </c>
      <c r="O26" s="93">
        <f>O25*(1-VLOOKUP(O$7+$A26-Parameters!$B$18-1,'Mortality tables'!$A$5:$E$125,3,FALSE))</f>
        <v>0.97564687959289242</v>
      </c>
      <c r="P26" s="41">
        <f>IF($B26&gt;Parameters!$B$19,0,O26*VLOOKUP(O$7+$B26-1,'Mortality tables'!$A$5:$C$125,3,FALSE)*P$5*P$6)</f>
        <v>2532.7792994231486</v>
      </c>
      <c r="Q26" s="93">
        <f>Q25*(1-VLOOKUP(Q$7+$A26-Parameters!$B$18-1,'Mortality tables'!$A$5:$E$125,3,FALSE))</f>
        <v>0.96464316747081458</v>
      </c>
      <c r="R26" s="37">
        <f>IF($B26&gt;Parameters!$B$19,0,Q26*VLOOKUP(Q$7+$B26-1,'Mortality tables'!$A$5:$C$125,3,FALSE)*R$5*R$6)</f>
        <v>14639.304129141148</v>
      </c>
      <c r="S26" s="93">
        <f>S25*(1-VLOOKUP(S$7+$A26-Parameters!$B$18-1,'Mortality tables'!$A$5:$E$125,3,FALSE))</f>
        <v>0.95003053410412275</v>
      </c>
      <c r="T26" s="37">
        <f>IF($B26&gt;Parameters!$B$19,0,S26*VLOOKUP(S$7+'TA projections'!$A26-Parameters!$B$18,'Mortality tables'!$A$5:$C$125,3,FALSE)*T$5*T$6)</f>
        <v>119038.82592324658</v>
      </c>
      <c r="U26" s="93">
        <f>U25*(1-VLOOKUP(U$7+$A26-Parameters!$B$18-1,'Mortality tables'!$A$5:$E$125,3,FALSE))</f>
        <v>0.93164683591839981</v>
      </c>
      <c r="V26" s="37">
        <f>IF($B26&gt;Parameters!$B$19,0,U26*VLOOKUP(U$7+'TA projections'!$A26-Parameters!$B$18,'Mortality tables'!$A$5:$C$125,3,FALSE)*V$5*V$6)</f>
        <v>170277.55802422389</v>
      </c>
      <c r="W26" s="93">
        <f>W25*(1-VLOOKUP(W$7+$A26-Parameters!$B$18-1,'Mortality tables'!$A$5:$E$125,3,FALSE))</f>
        <v>0.90973348570485857</v>
      </c>
      <c r="X26" s="37">
        <f>IF($B26&gt;Parameters!$B$19,0,W26*VLOOKUP(W$7+'TA projections'!$A26-Parameters!$B$18,'Mortality tables'!$A$5:$C$125,3,FALSE)*X$5*X$6)</f>
        <v>9857.8720510978474</v>
      </c>
      <c r="Y26" s="93">
        <f>Y25*(1-VLOOKUP(Y$7+$A26-Parameters!$B$18-1,'Mortality tables'!$A$5:$E$125,3,FALSE))</f>
        <v>0.87640391711981003</v>
      </c>
      <c r="Z26" s="37">
        <f>IF($B26&gt;Parameters!$B$19,0,Y26*VLOOKUP(Y$7+'TA projections'!$A26-Parameters!$B$18,'Mortality tables'!$A$5:$C$125,3,FALSE)*Z$5*Z$6)</f>
        <v>3075.9586481112533</v>
      </c>
      <c r="AA26" s="92">
        <f>IF(B26&gt;Parameters!$B$19,0,SUM(Parameters!$C$5:$C$16)*Parameters!$B$46)</f>
        <v>11250</v>
      </c>
      <c r="AB26" s="63">
        <f t="shared" si="1"/>
        <v>1592582.1126351499</v>
      </c>
      <c r="AD26" s="57">
        <f t="shared" si="2"/>
        <v>2040</v>
      </c>
      <c r="AE26" s="30">
        <f>AD26-Parameters!$B$18+1</f>
        <v>19</v>
      </c>
      <c r="AF26" s="93">
        <f>AF25*(1-VLOOKUP(AF$7+$B25-1,'Mortality tables'!$A$5:$E$125,4,FALSE))</f>
        <v>0.9739337284409757</v>
      </c>
      <c r="AG26" s="37">
        <f>IF($B26&gt;Parameters!$B$19,0,AF26*VLOOKUP(AF$7+$B26-1,'Mortality tables'!$A$5:$E$125,4,FALSE)*AG$5*AG$6)</f>
        <v>7156.0754630929132</v>
      </c>
      <c r="AH26" s="93">
        <f>AH25*(1-VLOOKUP(AH$7+$B25-1,'Mortality tables'!$A$5:$E$125,4,FALSE))</f>
        <v>0.9649027762210094</v>
      </c>
      <c r="AI26" s="37">
        <f>IF($B26&gt;Parameters!$B$19,0,AH26*VLOOKUP(AH$7+$B26-1,'Mortality tables'!$A$5:$E$125,4,FALSE)*AI$5*AI$6)</f>
        <v>2298.1668362921514</v>
      </c>
      <c r="AJ26" s="93">
        <f>AJ25*(1-VLOOKUP(AJ$7+$B25-1,'Mortality tables'!$A$5:$E$125,4,FALSE))</f>
        <v>0.94746634343582758</v>
      </c>
      <c r="AK26" s="37">
        <f>IF($B26&gt;Parameters!$B$19,0,AJ26*VLOOKUP(AJ$7+$B26-1,'Mortality tables'!$A$5:$E$125,4,FALSE)*AK$5*AK$6)</f>
        <v>4754.7650978983575</v>
      </c>
      <c r="AL26" s="93">
        <f>AL25*(1-VLOOKUP(AL$7+$B25-1,'Mortality tables'!$A$5:$E$125,4,FALSE))</f>
        <v>0.91619980886467101</v>
      </c>
      <c r="AM26" s="37">
        <f>IF($B26&gt;Parameters!$B$19,0,AL26*VLOOKUP(AL$7+$B26-1,'Mortality tables'!$A$5:$E$125,4,FALSE)*AM$5*AM$6)</f>
        <v>402394.95605336357</v>
      </c>
      <c r="AN26" s="93">
        <f>AN25*(1-VLOOKUP(AN$7+$B25-1,'Mortality tables'!$A$5:$E$125,4,FALSE))</f>
        <v>0.86746661184362051</v>
      </c>
      <c r="AO26" s="37">
        <f>IF($B26&gt;Parameters!$B$19,0,AN26*VLOOKUP(AN$7+$B26-1,'Mortality tables'!$A$5:$E$125,4,FALSE)*AO$5*AO$6)</f>
        <v>569988.02157731133</v>
      </c>
      <c r="AP26" s="93">
        <f>AP25*(1-VLOOKUP(AP$7+$B25-1,'Mortality tables'!$A$5:$E$125,4,FALSE))</f>
        <v>0.80177400968933499</v>
      </c>
      <c r="AQ26" s="37">
        <f>IF($B26&gt;Parameters!$B$19,0,AP26*VLOOKUP(AP$7+$B26-1,'Mortality tables'!$A$5:$E$125,4,FALSE)*AQ$5*AQ$6)</f>
        <v>489484.95717296231</v>
      </c>
      <c r="AR26" s="93">
        <f>AR25*(1-VLOOKUP(AR$7+$B25-1,'Mortality tables'!$A$5:$E$125,5,FALSE))</f>
        <v>0.97084332735382117</v>
      </c>
      <c r="AS26" s="41">
        <f>IF($B26&gt;Parameters!$B$19,0,AR26*VLOOKUP(AR$7+$B26-1,'Mortality tables'!$A$5:$E$125,5,FALSE)*AS$5*AS$6)</f>
        <v>3024.3711333726233</v>
      </c>
      <c r="AT26" s="93">
        <f>AT25*(1-VLOOKUP(AT$7+$B25-1,'Mortality tables'!$A$5:$E$125,5,FALSE))</f>
        <v>0.957713803182072</v>
      </c>
      <c r="AU26" s="54">
        <f>IF($B26&gt;Parameters!$B$19,0,AT26*VLOOKUP(AT$7+$B26-1,'Mortality tables'!$A$5:$E$125,5,FALSE)*AU$5*AU$6)</f>
        <v>17440.973955438869</v>
      </c>
      <c r="AV26" s="93">
        <f>AV25*(1-VLOOKUP(AV$7+$B25-1,'Mortality tables'!$A$5:$E$125,5,FALSE))</f>
        <v>0.94032176683778923</v>
      </c>
      <c r="AW26" s="54">
        <f>IF($B26&gt;Parameters!$B$19,0,AV26*VLOOKUP(AV$7+$B26-1,'Mortality tables'!$A$5:$E$125,5,FALSE)*AW$5*AW$6)</f>
        <v>141386.78086172999</v>
      </c>
      <c r="AX26" s="93">
        <f>AX25*(1-VLOOKUP(AX$7+$B25-1,'Mortality tables'!$A$5:$E$125,5,FALSE))</f>
        <v>0.91851344905131249</v>
      </c>
      <c r="AY26" s="54">
        <f>IF($B26&gt;Parameters!$B$19,0,AX26*VLOOKUP(AX$7+$B26-1,'Mortality tables'!$A$5:$E$125,5,FALSE)*AY$5*AY$6)</f>
        <v>201452.59480779953</v>
      </c>
      <c r="AZ26" s="93">
        <f>AZ25*(1-VLOOKUP(AZ$7+$B25-1,'Mortality tables'!$A$5:$E$125,5,FALSE))</f>
        <v>0.89262466706491062</v>
      </c>
      <c r="BA26" s="54">
        <f>IF($B26&gt;Parameters!$B$19,0,AZ26*VLOOKUP(AZ$7+$B26-1,'Mortality tables'!$A$5:$E$125,5,FALSE)*BA$5*BA$6)</f>
        <v>11606.977070778446</v>
      </c>
      <c r="BB26" s="93">
        <f>BB25*(1-VLOOKUP(BB$7+$B25-1,'Mortality tables'!$A$5:$E$125,5,FALSE))</f>
        <v>0.85347038049812041</v>
      </c>
      <c r="BC26" s="54">
        <f>IF($B26&gt;Parameters!$B$19,0,BB26*VLOOKUP(BB$7+$B26-1,'Mortality tables'!$A$5:$E$125,5,FALSE)*BC$5*BC$6)</f>
        <v>3594.5612015439333</v>
      </c>
      <c r="BD26" s="92">
        <f>AA26*(1+Parameters!$B$54)</f>
        <v>12375.000000000002</v>
      </c>
      <c r="BE26" s="63">
        <f t="shared" si="3"/>
        <v>1866958.201231584</v>
      </c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5"/>
    </row>
    <row r="27" spans="1:72">
      <c r="A27" s="57">
        <f t="shared" si="0"/>
        <v>2041</v>
      </c>
      <c r="B27" s="30">
        <f>A27-Parameters!$B$18+1</f>
        <v>20</v>
      </c>
      <c r="C27" s="93">
        <f>C26*(1-VLOOKUP(C$7+$B26-1,'Mortality tables'!$A$5:$E$125,2,FALSE))</f>
        <v>0.97623664047057723</v>
      </c>
      <c r="D27" s="37">
        <f>IF($B27&gt;Parameters!$B$19,0,C27*VLOOKUP(C$7+$B27-1,'Mortality tables'!$A$5:$B$125,2,FALSE)*D$5*D$6)</f>
        <v>6542.7379644338089</v>
      </c>
      <c r="E27" s="93">
        <f>E26*(1-VLOOKUP(E$7+$B26-1,'Mortality tables'!$A$5:$E$125,2,FALSE))</f>
        <v>0.96745999198266786</v>
      </c>
      <c r="F27" s="37">
        <f>IF($B27&gt;Parameters!$B$19,0,E27*VLOOKUP(E$7+$B27-1,'Mortality tables'!$A$5:$B$125,2,FALSE)*F$5*F$6)</f>
        <v>2129.1859503554551</v>
      </c>
      <c r="G27" s="93">
        <f>G26*(1-VLOOKUP(G$7+$B26-1,'Mortality tables'!$A$5:$E$125,2,FALSE))</f>
        <v>0.95070847365008304</v>
      </c>
      <c r="H27" s="37">
        <f>IF($B27&gt;Parameters!$B$19,0,G27*VLOOKUP(G$7+$B27-1,'Mortality tables'!$A$5:$B$125,2,FALSE)*H$5*H$6)</f>
        <v>4408.6728694338472</v>
      </c>
      <c r="I27" s="93">
        <f>I26*(1-VLOOKUP(I$7+$B26-1,'Mortality tables'!$A$5:$E$125,2,FALSE))</f>
        <v>0.92119014692006773</v>
      </c>
      <c r="J27" s="37">
        <f>IF($B27&gt;Parameters!$B$19,0,I27*VLOOKUP(I$7+$B27-1,'Mortality tables'!$A$5:$B$125,2,FALSE)*J$5*J$6)</f>
        <v>368918.23003854876</v>
      </c>
      <c r="K27" s="93">
        <f>K26*(1-VLOOKUP(K$7+$B26-1,'Mortality tables'!$A$5:$E$125,2,FALSE))</f>
        <v>0.87619347610874276</v>
      </c>
      <c r="L27" s="37">
        <f>IF($B27&gt;Parameters!$B$19,0,K27*VLOOKUP(K$7+$B27-1,'Mortality tables'!$A$5:$B$125,2,FALSE)*L$5*L$6)</f>
        <v>511346.51265706233</v>
      </c>
      <c r="M27" s="93">
        <f>M26*(1-VLOOKUP(M$7+$B26-1,'Mortality tables'!$A$5:$E$125,2,FALSE))</f>
        <v>0.81439679211477145</v>
      </c>
      <c r="N27" s="37">
        <f>IF($B27&gt;Parameters!$B$19,0,M27*VLOOKUP(M$7+$B27-1,'Mortality tables'!$A$5:$B$125,2,FALSE)*N$5*N$6)</f>
        <v>460316.61242627952</v>
      </c>
      <c r="O27" s="93">
        <f>O26*(1-VLOOKUP(O$7+$A27-Parameters!$B$18-1,'Mortality tables'!$A$5:$E$125,3,FALSE))</f>
        <v>0.97311410029346923</v>
      </c>
      <c r="P27" s="41">
        <f>IF($B27&gt;Parameters!$B$19,0,O27*VLOOKUP(O$7+$B27-1,'Mortality tables'!$A$5:$C$125,3,FALSE)*P$5*P$6)</f>
        <v>2714.0152257184855</v>
      </c>
      <c r="Q27" s="93">
        <f>Q26*(1-VLOOKUP(Q$7+$A27-Parameters!$B$18-1,'Mortality tables'!$A$5:$E$125,3,FALSE))</f>
        <v>0.96109424525768949</v>
      </c>
      <c r="R27" s="37">
        <f>IF($B27&gt;Parameters!$B$19,0,Q27*VLOOKUP(Q$7+$B27-1,'Mortality tables'!$A$5:$C$125,3,FALSE)*R$5*R$6)</f>
        <v>15576.574569672033</v>
      </c>
      <c r="S27" s="93">
        <f>S26*(1-VLOOKUP(S$7+$A27-Parameters!$B$18-1,'Mortality tables'!$A$5:$E$125,3,FALSE))</f>
        <v>0.94526898106719282</v>
      </c>
      <c r="T27" s="37">
        <f>IF($B27&gt;Parameters!$B$19,0,S27*VLOOKUP(S$7+'TA projections'!$A27-Parameters!$B$18,'Mortality tables'!$A$5:$C$125,3,FALSE)*T$5*T$6)</f>
        <v>125129.98136876967</v>
      </c>
      <c r="U27" s="93">
        <f>U26*(1-VLOOKUP(U$7+$A27-Parameters!$B$18-1,'Mortality tables'!$A$5:$E$125,3,FALSE))</f>
        <v>0.92567218475965507</v>
      </c>
      <c r="V27" s="37">
        <f>IF($B27&gt;Parameters!$B$19,0,U27*VLOOKUP(U$7+'TA projections'!$A27-Parameters!$B$18,'Mortality tables'!$A$5:$C$125,3,FALSE)*V$5*V$6)</f>
        <v>176018.41727641792</v>
      </c>
      <c r="W27" s="93">
        <f>W26*(1-VLOOKUP(W$7+$A27-Parameters!$B$18-1,'Mortality tables'!$A$5:$E$125,3,FALSE))</f>
        <v>0.90151859232894371</v>
      </c>
      <c r="X27" s="37">
        <f>IF($B27&gt;Parameters!$B$19,0,W27*VLOOKUP(W$7+'TA projections'!$A27-Parameters!$B$18,'Mortality tables'!$A$5:$C$125,3,FALSE)*X$5*X$6)</f>
        <v>10679.749852165598</v>
      </c>
      <c r="Y27" s="93">
        <f>Y26*(1-VLOOKUP(Y$7+$A27-Parameters!$B$18-1,'Mortality tables'!$A$5:$E$125,3,FALSE))</f>
        <v>0.86410008252736503</v>
      </c>
      <c r="Z27" s="37">
        <f>IF($B27&gt;Parameters!$B$19,0,Y27*VLOOKUP(Y$7+'TA projections'!$A27-Parameters!$B$18,'Mortality tables'!$A$5:$C$125,3,FALSE)*Z$5*Z$6)</f>
        <v>3320.5205921320317</v>
      </c>
      <c r="AA27" s="92">
        <f>IF(B27&gt;Parameters!$B$19,0,SUM(Parameters!$C$5:$C$16)*Parameters!$B$46)</f>
        <v>11250</v>
      </c>
      <c r="AB27" s="63">
        <f t="shared" si="1"/>
        <v>1698351.2107909895</v>
      </c>
      <c r="AD27" s="57">
        <f t="shared" si="2"/>
        <v>2041</v>
      </c>
      <c r="AE27" s="30">
        <f>AD27-Parameters!$B$18+1</f>
        <v>20</v>
      </c>
      <c r="AF27" s="93">
        <f>AF26*(1-VLOOKUP(AF$7+$B26-1,'Mortality tables'!$A$5:$E$125,4,FALSE))</f>
        <v>0.97154836995327798</v>
      </c>
      <c r="AG27" s="37">
        <f>IF($B27&gt;Parameters!$B$19,0,AF27*VLOOKUP(AF$7+$B27-1,'Mortality tables'!$A$5:$E$125,4,FALSE)*AG$5*AG$6)</f>
        <v>7813.580610512241</v>
      </c>
      <c r="AH27" s="93">
        <f>AH26*(1-VLOOKUP(AH$7+$B26-1,'Mortality tables'!$A$5:$E$125,4,FALSE))</f>
        <v>0.96107249816052243</v>
      </c>
      <c r="AI27" s="37">
        <f>IF($B27&gt;Parameters!$B$19,0,AH27*VLOOKUP(AH$7+$B27-1,'Mortality tables'!$A$5:$E$125,4,FALSE)*AI$5*AI$6)</f>
        <v>2538.154024742013</v>
      </c>
      <c r="AJ27" s="93">
        <f>AJ26*(1-VLOOKUP(AJ$7+$B26-1,'Mortality tables'!$A$5:$E$125,4,FALSE))</f>
        <v>0.94112665663862982</v>
      </c>
      <c r="AK27" s="37">
        <f>IF($B27&gt;Parameters!$B$19,0,AJ27*VLOOKUP(AJ$7+$B27-1,'Mortality tables'!$A$5:$E$125,4,FALSE)*AK$5*AK$6)</f>
        <v>5237.0875061969837</v>
      </c>
      <c r="AL27" s="93">
        <f>AL26*(1-VLOOKUP(AL$7+$B26-1,'Mortality tables'!$A$5:$E$125,4,FALSE))</f>
        <v>0.90613993496333689</v>
      </c>
      <c r="AM27" s="37">
        <f>IF($B27&gt;Parameters!$B$19,0,AL27*VLOOKUP(AL$7+$B27-1,'Mortality tables'!$A$5:$E$125,4,FALSE)*AM$5*AM$6)</f>
        <v>435469.10538494057</v>
      </c>
      <c r="AN27" s="93">
        <f>AN26*(1-VLOOKUP(AN$7+$B26-1,'Mortality tables'!$A$5:$E$125,4,FALSE))</f>
        <v>0.85321691130418775</v>
      </c>
      <c r="AO27" s="37">
        <f>IF($B27&gt;Parameters!$B$19,0,AN27*VLOOKUP(AN$7+$B27-1,'Mortality tables'!$A$5:$E$125,4,FALSE)*AO$5*AO$6)</f>
        <v>597524.86732454877</v>
      </c>
      <c r="AP27" s="93">
        <f>AP26*(1-VLOOKUP(AP$7+$B26-1,'Mortality tables'!$A$5:$E$125,4,FALSE))</f>
        <v>0.7813788031404616</v>
      </c>
      <c r="AQ27" s="37">
        <f>IF($B27&gt;Parameters!$B$19,0,AP27*VLOOKUP(AP$7+$B27-1,'Mortality tables'!$A$5:$E$125,4,FALSE)*AQ$5*AQ$6)</f>
        <v>529984.863151517</v>
      </c>
      <c r="AR27" s="93">
        <f>AR26*(1-VLOOKUP(AR$7+$B26-1,'Mortality tables'!$A$5:$E$125,5,FALSE))</f>
        <v>0.96781895622044856</v>
      </c>
      <c r="AS27" s="41">
        <f>IF($B27&gt;Parameters!$B$19,0,AR27*VLOOKUP(AR$7+$B27-1,'Mortality tables'!$A$5:$E$125,5,FALSE)*AS$5*AS$6)</f>
        <v>3239.0964826785967</v>
      </c>
      <c r="AT27" s="93">
        <f>AT26*(1-VLOOKUP(AT$7+$B26-1,'Mortality tables'!$A$5:$E$125,5,FALSE))</f>
        <v>0.95348568828378377</v>
      </c>
      <c r="AU27" s="54">
        <f>IF($B27&gt;Parameters!$B$19,0,AT27*VLOOKUP(AT$7+$B27-1,'Mortality tables'!$A$5:$E$125,5,FALSE)*AU$5*AU$6)</f>
        <v>18543.914082871583</v>
      </c>
      <c r="AV27" s="93">
        <f>AV26*(1-VLOOKUP(AV$7+$B26-1,'Mortality tables'!$A$5:$E$125,5,FALSE))</f>
        <v>0.93466629560332004</v>
      </c>
      <c r="AW27" s="54">
        <f>IF($B27&gt;Parameters!$B$19,0,AV27*VLOOKUP(AV$7+$B27-1,'Mortality tables'!$A$5:$E$125,5,FALSE)*AW$5*AW$6)</f>
        <v>148471.7410565874</v>
      </c>
      <c r="AX27" s="93">
        <f>AX26*(1-VLOOKUP(AX$7+$B26-1,'Mortality tables'!$A$5:$E$125,5,FALSE))</f>
        <v>0.91144493695279316</v>
      </c>
      <c r="AY27" s="54">
        <f>IF($B27&gt;Parameters!$B$19,0,AX27*VLOOKUP(AX$7+$B27-1,'Mortality tables'!$A$5:$E$125,5,FALSE)*AY$5*AY$6)</f>
        <v>207975.69318173706</v>
      </c>
      <c r="AZ27" s="93">
        <f>AZ26*(1-VLOOKUP(AZ$7+$B26-1,'Mortality tables'!$A$5:$E$125,5,FALSE))</f>
        <v>0.8829521861725953</v>
      </c>
      <c r="BA27" s="54">
        <f>IF($B27&gt;Parameters!$B$19,0,AZ27*VLOOKUP(AZ$7+$B27-1,'Mortality tables'!$A$5:$E$125,5,FALSE)*BA$5*BA$6)</f>
        <v>12551.765733930039</v>
      </c>
      <c r="BB27" s="93">
        <f>BB26*(1-VLOOKUP(BB$7+$B26-1,'Mortality tables'!$A$5:$E$125,5,FALSE))</f>
        <v>0.83909213569194463</v>
      </c>
      <c r="BC27" s="54">
        <f>IF($B27&gt;Parameters!$B$19,0,BB27*VLOOKUP(BB$7+$B27-1,'Mortality tables'!$A$5:$E$125,5,FALSE)*BC$5*BC$6)</f>
        <v>3869.3055653162637</v>
      </c>
      <c r="BD27" s="92">
        <f>AA27*(1+Parameters!$B$54)</f>
        <v>12375.000000000002</v>
      </c>
      <c r="BE27" s="63">
        <f t="shared" si="3"/>
        <v>1985594.1741055783</v>
      </c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5"/>
    </row>
    <row r="28" spans="1:72">
      <c r="A28" s="57">
        <f t="shared" si="0"/>
        <v>2042</v>
      </c>
      <c r="B28" s="30">
        <f>A28-Parameters!$B$18+1</f>
        <v>21</v>
      </c>
      <c r="C28" s="93">
        <f>C27*(1-VLOOKUP(C$7+$B27-1,'Mortality tables'!$A$5:$E$125,2,FALSE))</f>
        <v>0.97405572781576599</v>
      </c>
      <c r="D28" s="37">
        <f>IF($B28&gt;Parameters!$B$19,0,C28*VLOOKUP(C$7+$B28-1,'Mortality tables'!$A$5:$B$125,2,FALSE)*D$5*D$6)</f>
        <v>7170.9982681796691</v>
      </c>
      <c r="E28" s="93">
        <f>E27*(1-VLOOKUP(E$7+$B27-1,'Mortality tables'!$A$5:$E$125,2,FALSE))</f>
        <v>0.9639113487320754</v>
      </c>
      <c r="F28" s="37">
        <f>IF($B28&gt;Parameters!$B$19,0,E28*VLOOKUP(E$7+$B28-1,'Mortality tables'!$A$5:$B$125,2,FALSE)*F$5*F$6)</f>
        <v>2355.0282072222067</v>
      </c>
      <c r="G28" s="93">
        <f>G27*(1-VLOOKUP(G$7+$B27-1,'Mortality tables'!$A$5:$E$125,2,FALSE))</f>
        <v>0.94483024315750452</v>
      </c>
      <c r="H28" s="37">
        <f>IF($B28&gt;Parameters!$B$19,0,G28*VLOOKUP(G$7+$B28-1,'Mortality tables'!$A$5:$B$125,2,FALSE)*H$5*H$6)</f>
        <v>4850.5222608098393</v>
      </c>
      <c r="I28" s="93">
        <f>I27*(1-VLOOKUP(I$7+$B27-1,'Mortality tables'!$A$5:$E$125,2,FALSE))</f>
        <v>0.91196719116910396</v>
      </c>
      <c r="J28" s="37">
        <f>IF($B28&gt;Parameters!$B$19,0,I28*VLOOKUP(I$7+$B28-1,'Mortality tables'!$A$5:$B$125,2,FALSE)*J$5*J$6)</f>
        <v>397982.48222619697</v>
      </c>
      <c r="K28" s="93">
        <f>K27*(1-VLOOKUP(K$7+$B27-1,'Mortality tables'!$A$5:$E$125,2,FALSE))</f>
        <v>0.86340981329231625</v>
      </c>
      <c r="L28" s="37">
        <f>IF($B28&gt;Parameters!$B$19,0,K28*VLOOKUP(K$7+$B28-1,'Mortality tables'!$A$5:$B$125,2,FALSE)*L$5*L$6)</f>
        <v>533483.65543705632</v>
      </c>
      <c r="M28" s="93">
        <f>M27*(1-VLOOKUP(M$7+$B27-1,'Mortality tables'!$A$5:$E$125,2,FALSE))</f>
        <v>0.79521693326367648</v>
      </c>
      <c r="N28" s="37">
        <f>IF($B28&gt;Parameters!$B$19,0,M28*VLOOKUP(M$7+$B28-1,'Mortality tables'!$A$5:$B$125,2,FALSE)*N$5*N$6)</f>
        <v>499707.95912742818</v>
      </c>
      <c r="O28" s="93">
        <f>O27*(1-VLOOKUP(O$7+$A28-Parameters!$B$18-1,'Mortality tables'!$A$5:$E$125,3,FALSE))</f>
        <v>0.97040008506775066</v>
      </c>
      <c r="P28" s="41">
        <f>IF($B28&gt;Parameters!$B$19,0,O28*VLOOKUP(O$7+$B28-1,'Mortality tables'!$A$5:$C$125,3,FALSE)*P$5*P$6)</f>
        <v>2905.3778546928456</v>
      </c>
      <c r="Q28" s="93">
        <f>Q27*(1-VLOOKUP(Q$7+$A28-Parameters!$B$18-1,'Mortality tables'!$A$5:$E$125,3,FALSE))</f>
        <v>0.9573181059680721</v>
      </c>
      <c r="R28" s="37">
        <f>IF($B28&gt;Parameters!$B$19,0,Q28*VLOOKUP(Q$7+$B28-1,'Mortality tables'!$A$5:$C$125,3,FALSE)*R$5*R$6)</f>
        <v>16538.14893965143</v>
      </c>
      <c r="S28" s="93">
        <f>S27*(1-VLOOKUP(S$7+$A28-Parameters!$B$18-1,'Mortality tables'!$A$5:$E$125,3,FALSE))</f>
        <v>0.94026378181244197</v>
      </c>
      <c r="T28" s="37">
        <f>IF($B28&gt;Parameters!$B$19,0,S28*VLOOKUP(S$7+'TA projections'!$A28-Parameters!$B$18,'Mortality tables'!$A$5:$C$125,3,FALSE)*T$5*T$6)</f>
        <v>131166.79756283568</v>
      </c>
      <c r="U28" s="93">
        <f>U27*(1-VLOOKUP(U$7+$A28-Parameters!$B$18-1,'Mortality tables'!$A$5:$E$125,3,FALSE))</f>
        <v>0.91949609994293868</v>
      </c>
      <c r="V28" s="37">
        <f>IF($B28&gt;Parameters!$B$19,0,U28*VLOOKUP(U$7+'TA projections'!$A28-Parameters!$B$18,'Mortality tables'!$A$5:$C$125,3,FALSE)*V$5*V$6)</f>
        <v>181316.81519189797</v>
      </c>
      <c r="W28" s="93">
        <f>W27*(1-VLOOKUP(W$7+$A28-Parameters!$B$18-1,'Mortality tables'!$A$5:$E$125,3,FALSE))</f>
        <v>0.8926188007854724</v>
      </c>
      <c r="X28" s="37">
        <f>IF($B28&gt;Parameters!$B$19,0,W28*VLOOKUP(W$7+'TA projections'!$A28-Parameters!$B$18,'Mortality tables'!$A$5:$C$125,3,FALSE)*X$5*X$6)</f>
        <v>11551.201377204641</v>
      </c>
      <c r="Y28" s="93">
        <f>Y27*(1-VLOOKUP(Y$7+$A28-Parameters!$B$18-1,'Mortality tables'!$A$5:$E$125,3,FALSE))</f>
        <v>0.85081800015883691</v>
      </c>
      <c r="Z28" s="37">
        <f>IF($B28&gt;Parameters!$B$19,0,Y28*VLOOKUP(Y$7+'TA projections'!$A28-Parameters!$B$18,'Mortality tables'!$A$5:$C$125,3,FALSE)*Z$5*Z$6)</f>
        <v>3589.3884381700937</v>
      </c>
      <c r="AA28" s="92">
        <f>IF(B28&gt;Parameters!$B$19,0,SUM(Parameters!$C$5:$C$16)*Parameters!$B$46)</f>
        <v>11250</v>
      </c>
      <c r="AB28" s="63">
        <f t="shared" si="1"/>
        <v>1803868.3748913459</v>
      </c>
      <c r="AD28" s="57">
        <f t="shared" si="2"/>
        <v>2042</v>
      </c>
      <c r="AE28" s="30">
        <f>AD28-Parameters!$B$18+1</f>
        <v>21</v>
      </c>
      <c r="AF28" s="93">
        <f>AF27*(1-VLOOKUP(AF$7+$B27-1,'Mortality tables'!$A$5:$E$125,4,FALSE))</f>
        <v>0.96894384308310721</v>
      </c>
      <c r="AG28" s="37">
        <f>IF($B28&gt;Parameters!$B$19,0,AF28*VLOOKUP(AF$7+$B28-1,'Mortality tables'!$A$5:$E$125,4,FALSE)*AG$5*AG$6)</f>
        <v>8560.0374873334022</v>
      </c>
      <c r="AH28" s="93">
        <f>AH27*(1-VLOOKUP(AH$7+$B27-1,'Mortality tables'!$A$5:$E$125,4,FALSE))</f>
        <v>0.95684224145261909</v>
      </c>
      <c r="AI28" s="37">
        <f>IF($B28&gt;Parameters!$B$19,0,AH28*VLOOKUP(AH$7+$B28-1,'Mortality tables'!$A$5:$E$125,4,FALSE)*AI$5*AI$6)</f>
        <v>2805.3083571804464</v>
      </c>
      <c r="AJ28" s="93">
        <f>AJ27*(1-VLOOKUP(AJ$7+$B27-1,'Mortality tables'!$A$5:$E$125,4,FALSE))</f>
        <v>0.93414387329703386</v>
      </c>
      <c r="AK28" s="37">
        <f>IF($B28&gt;Parameters!$B$19,0,AJ28*VLOOKUP(AJ$7+$B28-1,'Mortality tables'!$A$5:$E$125,4,FALSE)*AK$5*AK$6)</f>
        <v>5754.7933314463771</v>
      </c>
      <c r="AL28" s="93">
        <f>AL27*(1-VLOOKUP(AL$7+$B27-1,'Mortality tables'!$A$5:$E$125,4,FALSE))</f>
        <v>0.89525320732871339</v>
      </c>
      <c r="AM28" s="37">
        <f>IF($B28&gt;Parameters!$B$19,0,AL28*VLOOKUP(AL$7+$B28-1,'Mortality tables'!$A$5:$E$125,4,FALSE)*AM$5*AM$6)</f>
        <v>468826.19961390056</v>
      </c>
      <c r="AN28" s="93">
        <f>AN27*(1-VLOOKUP(AN$7+$B27-1,'Mortality tables'!$A$5:$E$125,4,FALSE))</f>
        <v>0.83827878962107405</v>
      </c>
      <c r="AO28" s="37">
        <f>IF($B28&gt;Parameters!$B$19,0,AN28*VLOOKUP(AN$7+$B28-1,'Mortality tables'!$A$5:$E$125,4,FALSE)*AO$5*AO$6)</f>
        <v>621546.83823728305</v>
      </c>
      <c r="AP28" s="93">
        <f>AP27*(1-VLOOKUP(AP$7+$B27-1,'Mortality tables'!$A$5:$E$125,4,FALSE))</f>
        <v>0.75929610050914842</v>
      </c>
      <c r="AQ28" s="37">
        <f>IF($B28&gt;Parameters!$B$19,0,AP28*VLOOKUP(AP$7+$B28-1,'Mortality tables'!$A$5:$E$125,4,FALSE)*AQ$5*AQ$6)</f>
        <v>572562.71422937373</v>
      </c>
      <c r="AR28" s="93">
        <f>AR27*(1-VLOOKUP(AR$7+$B27-1,'Mortality tables'!$A$5:$E$125,5,FALSE))</f>
        <v>0.96457985973776994</v>
      </c>
      <c r="AS28" s="41">
        <f>IF($B28&gt;Parameters!$B$19,0,AR28*VLOOKUP(AR$7+$B28-1,'Mortality tables'!$A$5:$E$125,5,FALSE)*AS$5*AS$6)</f>
        <v>3465.5425200658597</v>
      </c>
      <c r="AT28" s="93">
        <f>AT27*(1-VLOOKUP(AT$7+$B27-1,'Mortality tables'!$A$5:$E$125,5,FALSE))</f>
        <v>0.94899019396066342</v>
      </c>
      <c r="AU28" s="54">
        <f>IF($B28&gt;Parameters!$B$19,0,AT28*VLOOKUP(AT$7+$B28-1,'Mortality tables'!$A$5:$E$125,5,FALSE)*AU$5*AU$6)</f>
        <v>19673.136114920926</v>
      </c>
      <c r="AV28" s="93">
        <f>AV27*(1-VLOOKUP(AV$7+$B27-1,'Mortality tables'!$A$5:$E$125,5,FALSE))</f>
        <v>0.92872742596105662</v>
      </c>
      <c r="AW28" s="54">
        <f>IF($B28&gt;Parameters!$B$19,0,AV28*VLOOKUP(AV$7+$B28-1,'Mortality tables'!$A$5:$E$125,5,FALSE)*AW$5*AW$6)</f>
        <v>155468.97110588086</v>
      </c>
      <c r="AX28" s="93">
        <f>AX27*(1-VLOOKUP(AX$7+$B27-1,'Mortality tables'!$A$5:$E$125,5,FALSE))</f>
        <v>0.90414754420957433</v>
      </c>
      <c r="AY28" s="54">
        <f>IF($B28&gt;Parameters!$B$19,0,AX28*VLOOKUP(AX$7+$B28-1,'Mortality tables'!$A$5:$E$125,5,FALSE)*AY$5*AY$6)</f>
        <v>213948.2525568027</v>
      </c>
      <c r="AZ28" s="93">
        <f>AZ27*(1-VLOOKUP(AZ$7+$B27-1,'Mortality tables'!$A$5:$E$125,5,FALSE))</f>
        <v>0.87249238139432028</v>
      </c>
      <c r="BA28" s="54">
        <f>IF($B28&gt;Parameters!$B$19,0,AZ28*VLOOKUP(AZ$7+$B28-1,'Mortality tables'!$A$5:$E$125,5,FALSE)*BA$5*BA$6)</f>
        <v>13548.899290977146</v>
      </c>
      <c r="BB28" s="93">
        <f>BB27*(1-VLOOKUP(BB$7+$B27-1,'Mortality tables'!$A$5:$E$125,5,FALSE))</f>
        <v>0.8236149134306795</v>
      </c>
      <c r="BC28" s="54">
        <f>IF($B28&gt;Parameters!$B$19,0,BB28*VLOOKUP(BB$7+$B28-1,'Mortality tables'!$A$5:$E$125,5,FALSE)*BC$5*BC$6)</f>
        <v>4169.5504992428141</v>
      </c>
      <c r="BD28" s="92">
        <f>AA28*(1+Parameters!$B$54)</f>
        <v>12375.000000000002</v>
      </c>
      <c r="BE28" s="63">
        <f t="shared" si="3"/>
        <v>2102705.2433444075</v>
      </c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5"/>
    </row>
    <row r="29" spans="1:72">
      <c r="A29" s="57">
        <f t="shared" si="0"/>
        <v>2043</v>
      </c>
      <c r="B29" s="30">
        <f>A29-Parameters!$B$18+1</f>
        <v>22</v>
      </c>
      <c r="C29" s="93">
        <f>C28*(1-VLOOKUP(C$7+$B28-1,'Mortality tables'!$A$5:$E$125,2,FALSE))</f>
        <v>0.97166539505970617</v>
      </c>
      <c r="D29" s="37">
        <f>IF($B29&gt;Parameters!$B$19,0,C29*VLOOKUP(C$7+$B29-1,'Mortality tables'!$A$5:$B$125,2,FALSE)*D$5*D$6)</f>
        <v>7882.1496847243361</v>
      </c>
      <c r="E29" s="93">
        <f>E28*(1-VLOOKUP(E$7+$B28-1,'Mortality tables'!$A$5:$E$125,2,FALSE))</f>
        <v>0.9599863017200384</v>
      </c>
      <c r="F29" s="37">
        <f>IF($B29&gt;Parameters!$B$19,0,E29*VLOOKUP(E$7+$B29-1,'Mortality tables'!$A$5:$B$125,2,FALSE)*F$5*F$6)</f>
        <v>2605.21082560784</v>
      </c>
      <c r="G29" s="93">
        <f>G28*(1-VLOOKUP(G$7+$B28-1,'Mortality tables'!$A$5:$E$125,2,FALSE))</f>
        <v>0.93836288014309144</v>
      </c>
      <c r="H29" s="37">
        <f>IF($B29&gt;Parameters!$B$19,0,G29*VLOOKUP(G$7+$B29-1,'Mortality tables'!$A$5:$B$125,2,FALSE)*H$5*H$6)</f>
        <v>5321.9250747315427</v>
      </c>
      <c r="I29" s="93">
        <f>I28*(1-VLOOKUP(I$7+$B28-1,'Mortality tables'!$A$5:$E$125,2,FALSE))</f>
        <v>0.90201762911344907</v>
      </c>
      <c r="J29" s="37">
        <f>IF($B29&gt;Parameters!$B$19,0,I29*VLOOKUP(I$7+$B29-1,'Mortality tables'!$A$5:$B$125,2,FALSE)*J$5*J$6)</f>
        <v>426870.8228016487</v>
      </c>
      <c r="K29" s="93">
        <f>K28*(1-VLOOKUP(K$7+$B28-1,'Mortality tables'!$A$5:$E$125,2,FALSE))</f>
        <v>0.85007272190638983</v>
      </c>
      <c r="L29" s="37">
        <f>IF($B29&gt;Parameters!$B$19,0,K29*VLOOKUP(K$7+$B29-1,'Mortality tables'!$A$5:$B$125,2,FALSE)*L$5*L$6)</f>
        <v>584033.96285856597</v>
      </c>
      <c r="M29" s="93">
        <f>M28*(1-VLOOKUP(M$7+$B28-1,'Mortality tables'!$A$5:$E$125,2,FALSE))</f>
        <v>0.77439576830003365</v>
      </c>
      <c r="N29" s="37">
        <f>IF($B29&gt;Parameters!$B$19,0,M29*VLOOKUP(M$7+$B29-1,'Mortality tables'!$A$5:$B$125,2,FALSE)*N$5*N$6)</f>
        <v>541581.42451831151</v>
      </c>
      <c r="O29" s="93">
        <f>O28*(1-VLOOKUP(O$7+$A29-Parameters!$B$18-1,'Mortality tables'!$A$5:$E$125,3,FALSE))</f>
        <v>0.96749470721305775</v>
      </c>
      <c r="P29" s="41">
        <f>IF($B29&gt;Parameters!$B$19,0,O29*VLOOKUP(O$7+$B29-1,'Mortality tables'!$A$5:$C$125,3,FALSE)*P$5*P$6)</f>
        <v>3106.6255048611283</v>
      </c>
      <c r="Q29" s="93">
        <f>Q28*(1-VLOOKUP(Q$7+$A29-Parameters!$B$18-1,'Mortality tables'!$A$5:$E$125,3,FALSE))</f>
        <v>0.95330885774027785</v>
      </c>
      <c r="R29" s="37">
        <f>IF($B29&gt;Parameters!$B$19,0,Q29*VLOOKUP(Q$7+$B29-1,'Mortality tables'!$A$5:$C$125,3,FALSE)*R$5*R$6)</f>
        <v>17522.770114124047</v>
      </c>
      <c r="S29" s="93">
        <f>S28*(1-VLOOKUP(S$7+$A29-Parameters!$B$18-1,'Mortality tables'!$A$5:$E$125,3,FALSE))</f>
        <v>0.93501710990992848</v>
      </c>
      <c r="T29" s="37">
        <f>IF($B29&gt;Parameters!$B$19,0,S29*VLOOKUP(S$7+'TA projections'!$A29-Parameters!$B$18,'Mortality tables'!$A$5:$C$125,3,FALSE)*T$5*T$6)</f>
        <v>137050.13288504776</v>
      </c>
      <c r="U29" s="93">
        <f>U28*(1-VLOOKUP(U$7+$A29-Parameters!$B$18-1,'Mortality tables'!$A$5:$E$125,3,FALSE))</f>
        <v>0.91313410642743353</v>
      </c>
      <c r="V29" s="37">
        <f>IF($B29&gt;Parameters!$B$19,0,U29*VLOOKUP(U$7+'TA projections'!$A29-Parameters!$B$18,'Mortality tables'!$A$5:$C$125,3,FALSE)*V$5*V$6)</f>
        <v>196587.72863865571</v>
      </c>
      <c r="W29" s="93">
        <f>W28*(1-VLOOKUP(W$7+$A29-Parameters!$B$18-1,'Mortality tables'!$A$5:$E$125,3,FALSE))</f>
        <v>0.88299279963780186</v>
      </c>
      <c r="X29" s="37">
        <f>IF($B29&gt;Parameters!$B$19,0,W29*VLOOKUP(W$7+'TA projections'!$A29-Parameters!$B$18,'Mortality tables'!$A$5:$C$125,3,FALSE)*X$5*X$6)</f>
        <v>12472.44989344388</v>
      </c>
      <c r="Y29" s="93">
        <f>Y28*(1-VLOOKUP(Y$7+$A29-Parameters!$B$18-1,'Mortality tables'!$A$5:$E$125,3,FALSE))</f>
        <v>0.83646044640615658</v>
      </c>
      <c r="Z29" s="37">
        <f>IF($B29&gt;Parameters!$B$19,0,Y29*VLOOKUP(Y$7+'TA projections'!$A29-Parameters!$B$18,'Mortality tables'!$A$5:$C$125,3,FALSE)*Z$5*Z$6)</f>
        <v>3886.4043491146053</v>
      </c>
      <c r="AA29" s="92">
        <f>IF(B29&gt;Parameters!$B$19,0,SUM(Parameters!$C$5:$C$16)*Parameters!$B$46)</f>
        <v>11250</v>
      </c>
      <c r="AB29" s="63">
        <f t="shared" si="1"/>
        <v>1950171.6071488371</v>
      </c>
      <c r="AD29" s="57">
        <f t="shared" si="2"/>
        <v>2043</v>
      </c>
      <c r="AE29" s="30">
        <f>AD29-Parameters!$B$18+1</f>
        <v>22</v>
      </c>
      <c r="AF29" s="93">
        <f>AF28*(1-VLOOKUP(AF$7+$B28-1,'Mortality tables'!$A$5:$E$125,4,FALSE))</f>
        <v>0.96609049725399609</v>
      </c>
      <c r="AG29" s="37">
        <f>IF($B29&gt;Parameters!$B$19,0,AF29*VLOOKUP(AF$7+$B29-1,'Mortality tables'!$A$5:$E$125,4,FALSE)*AG$5*AG$6)</f>
        <v>9404.3113364692981</v>
      </c>
      <c r="AH29" s="93">
        <f>AH28*(1-VLOOKUP(AH$7+$B28-1,'Mortality tables'!$A$5:$E$125,4,FALSE))</f>
        <v>0.95216672752398501</v>
      </c>
      <c r="AI29" s="37">
        <f>IF($B29&gt;Parameters!$B$19,0,AH29*VLOOKUP(AH$7+$B29-1,'Mortality tables'!$A$5:$E$125,4,FALSE)*AI$5*AI$6)</f>
        <v>3100.7880781855083</v>
      </c>
      <c r="AJ29" s="93">
        <f>AJ28*(1-VLOOKUP(AJ$7+$B28-1,'Mortality tables'!$A$5:$E$125,4,FALSE))</f>
        <v>0.92647081552177202</v>
      </c>
      <c r="AK29" s="37">
        <f>IF($B29&gt;Parameters!$B$19,0,AJ29*VLOOKUP(AJ$7+$B29-1,'Mortality tables'!$A$5:$E$125,4,FALSE)*AK$5*AK$6)</f>
        <v>6305.3750762780774</v>
      </c>
      <c r="AL29" s="93">
        <f>AL28*(1-VLOOKUP(AL$7+$B28-1,'Mortality tables'!$A$5:$E$125,4,FALSE))</f>
        <v>0.88353255233836592</v>
      </c>
      <c r="AM29" s="37">
        <f>IF($B29&gt;Parameters!$B$19,0,AL29*VLOOKUP(AL$7+$B29-1,'Mortality tables'!$A$5:$E$125,4,FALSE)*AM$5*AM$6)</f>
        <v>501747.53408232995</v>
      </c>
      <c r="AN29" s="93">
        <f>AN28*(1-VLOOKUP(AN$7+$B28-1,'Mortality tables'!$A$5:$E$125,4,FALSE))</f>
        <v>0.82274011866514196</v>
      </c>
      <c r="AO29" s="37">
        <f>IF($B29&gt;Parameters!$B$19,0,AN29*VLOOKUP(AN$7+$B29-1,'Mortality tables'!$A$5:$E$125,4,FALSE)*AO$5*AO$6)</f>
        <v>678306.44535323884</v>
      </c>
      <c r="AP29" s="93">
        <f>AP28*(1-VLOOKUP(AP$7+$B28-1,'Mortality tables'!$A$5:$E$125,4,FALSE))</f>
        <v>0.73543932074959117</v>
      </c>
      <c r="AQ29" s="37">
        <f>IF($B29&gt;Parameters!$B$19,0,AP29*VLOOKUP(AP$7+$B29-1,'Mortality tables'!$A$5:$E$125,4,FALSE)*AQ$5*AQ$6)</f>
        <v>617204.2120313209</v>
      </c>
      <c r="AR29" s="93">
        <f>AR28*(1-VLOOKUP(AR$7+$B28-1,'Mortality tables'!$A$5:$E$125,5,FALSE))</f>
        <v>0.96111431721770413</v>
      </c>
      <c r="AS29" s="41">
        <f>IF($B29&gt;Parameters!$B$19,0,AR29*VLOOKUP(AR$7+$B29-1,'Mortality tables'!$A$5:$E$125,5,FALSE)*AS$5*AS$6)</f>
        <v>3703.3656871032572</v>
      </c>
      <c r="AT29" s="93">
        <f>AT28*(1-VLOOKUP(AT$7+$B28-1,'Mortality tables'!$A$5:$E$125,5,FALSE))</f>
        <v>0.94422094884189478</v>
      </c>
      <c r="AU29" s="54">
        <f>IF($B29&gt;Parameters!$B$19,0,AT29*VLOOKUP(AT$7+$B29-1,'Mortality tables'!$A$5:$E$125,5,FALSE)*AU$5*AU$6)</f>
        <v>20826.87031279544</v>
      </c>
      <c r="AV29" s="93">
        <f>AV28*(1-VLOOKUP(AV$7+$B28-1,'Mortality tables'!$A$5:$E$125,5,FALSE))</f>
        <v>0.92250866711682133</v>
      </c>
      <c r="AW29" s="54">
        <f>IF($B29&gt;Parameters!$B$19,0,AV29*VLOOKUP(AV$7+$B29-1,'Mortality tables'!$A$5:$E$125,5,FALSE)*AW$5*AW$6)</f>
        <v>162260.04945917768</v>
      </c>
      <c r="AX29" s="93">
        <f>AX28*(1-VLOOKUP(AX$7+$B28-1,'Mortality tables'!$A$5:$E$125,5,FALSE))</f>
        <v>0.89664058797951107</v>
      </c>
      <c r="AY29" s="54">
        <f>IF($B29&gt;Parameters!$B$19,0,AX29*VLOOKUP(AX$7+$B29-1,'Mortality tables'!$A$5:$E$125,5,FALSE)*AY$5*AY$6)</f>
        <v>231644.22665462512</v>
      </c>
      <c r="AZ29" s="93">
        <f>AZ28*(1-VLOOKUP(AZ$7+$B28-1,'Mortality tables'!$A$5:$E$125,5,FALSE))</f>
        <v>0.86120163198517263</v>
      </c>
      <c r="BA29" s="54">
        <f>IF($B29&gt;Parameters!$B$19,0,AZ29*VLOOKUP(AZ$7+$B29-1,'Mortality tables'!$A$5:$E$125,5,FALSE)*BA$5*BA$6)</f>
        <v>14597.57435054035</v>
      </c>
      <c r="BB29" s="93">
        <f>BB28*(1-VLOOKUP(BB$7+$B28-1,'Mortality tables'!$A$5:$E$125,5,FALSE))</f>
        <v>0.80693671143370826</v>
      </c>
      <c r="BC29" s="54">
        <f>IF($B29&gt;Parameters!$B$19,0,BB29*VLOOKUP(BB$7+$B29-1,'Mortality tables'!$A$5:$E$125,5,FALSE)*BC$5*BC$6)</f>
        <v>4499.0756345986401</v>
      </c>
      <c r="BD29" s="92">
        <f>AA29*(1+Parameters!$B$54)</f>
        <v>12375.000000000002</v>
      </c>
      <c r="BE29" s="63">
        <f t="shared" si="3"/>
        <v>2265974.8280566637</v>
      </c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5"/>
    </row>
    <row r="30" spans="1:72">
      <c r="A30" s="57">
        <f t="shared" si="0"/>
        <v>2044</v>
      </c>
      <c r="B30" s="30">
        <f>A30-Parameters!$B$18+1</f>
        <v>23</v>
      </c>
      <c r="C30" s="93">
        <f>C29*(1-VLOOKUP(C$7+$B29-1,'Mortality tables'!$A$5:$E$125,2,FALSE))</f>
        <v>0.96903801183146465</v>
      </c>
      <c r="D30" s="37">
        <f>IF($B30&gt;Parameters!$B$19,0,C30*VLOOKUP(C$7+$B30-1,'Mortality tables'!$A$5:$B$125,2,FALSE)*D$5*D$6)</f>
        <v>8686.4567380572498</v>
      </c>
      <c r="E30" s="93">
        <f>E29*(1-VLOOKUP(E$7+$B29-1,'Mortality tables'!$A$5:$E$125,2,FALSE))</f>
        <v>0.95564428367735865</v>
      </c>
      <c r="F30" s="37">
        <f>IF($B30&gt;Parameters!$B$19,0,E30*VLOOKUP(E$7+$B30-1,'Mortality tables'!$A$5:$B$125,2,FALSE)*F$5*F$6)</f>
        <v>2880.1207421468234</v>
      </c>
      <c r="G30" s="93">
        <f>G29*(1-VLOOKUP(G$7+$B29-1,'Mortality tables'!$A$5:$E$125,2,FALSE))</f>
        <v>0.93126698004344943</v>
      </c>
      <c r="H30" s="37">
        <f>IF($B30&gt;Parameters!$B$19,0,G30*VLOOKUP(G$7+$B30-1,'Mortality tables'!$A$5:$B$125,2,FALSE)*H$5*H$6)</f>
        <v>5818.7889080564828</v>
      </c>
      <c r="I30" s="93">
        <f>I29*(1-VLOOKUP(I$7+$B29-1,'Mortality tables'!$A$5:$E$125,2,FALSE))</f>
        <v>0.89134585854340787</v>
      </c>
      <c r="J30" s="37">
        <f>IF($B30&gt;Parameters!$B$19,0,I30*VLOOKUP(I$7+$B30-1,'Mortality tables'!$A$5:$B$125,2,FALSE)*J$5*J$6)</f>
        <v>455049.88770358061</v>
      </c>
      <c r="K30" s="93">
        <f>K29*(1-VLOOKUP(K$7+$B29-1,'Mortality tables'!$A$5:$E$125,2,FALSE))</f>
        <v>0.83547187283492574</v>
      </c>
      <c r="L30" s="37">
        <f>IF($B30&gt;Parameters!$B$19,0,K30*VLOOKUP(K$7+$B30-1,'Mortality tables'!$A$5:$B$125,2,FALSE)*L$5*L$6)</f>
        <v>637765.80884726893</v>
      </c>
      <c r="M30" s="93">
        <f>M29*(1-VLOOKUP(M$7+$B29-1,'Mortality tables'!$A$5:$E$125,2,FALSE))</f>
        <v>0.75182987561177073</v>
      </c>
      <c r="N30" s="37">
        <f>IF($B30&gt;Parameters!$B$19,0,M30*VLOOKUP(M$7+$B30-1,'Mortality tables'!$A$5:$B$125,2,FALSE)*N$5*N$6)</f>
        <v>586084.46855390223</v>
      </c>
      <c r="O30" s="93">
        <f>O29*(1-VLOOKUP(O$7+$A30-Parameters!$B$18-1,'Mortality tables'!$A$5:$E$125,3,FALSE))</f>
        <v>0.96438808170819668</v>
      </c>
      <c r="P30" s="41">
        <f>IF($B30&gt;Parameters!$B$19,0,O30*VLOOKUP(O$7+$B30-1,'Mortality tables'!$A$5:$C$125,3,FALSE)*P$5*P$6)</f>
        <v>3316.5306129944888</v>
      </c>
      <c r="Q30" s="93">
        <f>Q29*(1-VLOOKUP(Q$7+$A30-Parameters!$B$18-1,'Mortality tables'!$A$5:$E$125,3,FALSE))</f>
        <v>0.94906091347018717</v>
      </c>
      <c r="R30" s="37">
        <f>IF($B30&gt;Parameters!$B$19,0,Q30*VLOOKUP(Q$7+$B30-1,'Mortality tables'!$A$5:$C$125,3,FALSE)*R$5*R$6)</f>
        <v>18521.27962421325</v>
      </c>
      <c r="S30" s="93">
        <f>S29*(1-VLOOKUP(S$7+$A30-Parameters!$B$18-1,'Mortality tables'!$A$5:$E$125,3,FALSE))</f>
        <v>0.9295351045945266</v>
      </c>
      <c r="T30" s="37">
        <f>IF($B30&gt;Parameters!$B$19,0,S30*VLOOKUP(S$7+'TA projections'!$A30-Parameters!$B$18,'Mortality tables'!$A$5:$C$125,3,FALSE)*T$5*T$6)</f>
        <v>142730.11531048955</v>
      </c>
      <c r="U30" s="93">
        <f>U29*(1-VLOOKUP(U$7+$A30-Parameters!$B$18-1,'Mortality tables'!$A$5:$E$125,3,FALSE))</f>
        <v>0.90623629138748074</v>
      </c>
      <c r="V30" s="37">
        <f>IF($B30&gt;Parameters!$B$19,0,U30*VLOOKUP(U$7+'TA projections'!$A30-Parameters!$B$18,'Mortality tables'!$A$5:$C$125,3,FALSE)*V$5*V$6)</f>
        <v>213285.42988691776</v>
      </c>
      <c r="W30" s="93">
        <f>W29*(1-VLOOKUP(W$7+$A30-Parameters!$B$18-1,'Mortality tables'!$A$5:$E$125,3,FALSE))</f>
        <v>0.8725990913932653</v>
      </c>
      <c r="X30" s="37">
        <f>IF($B30&gt;Parameters!$B$19,0,W30*VLOOKUP(W$7+'TA projections'!$A30-Parameters!$B$18,'Mortality tables'!$A$5:$C$125,3,FALSE)*X$5*X$6)</f>
        <v>13453.383751464808</v>
      </c>
      <c r="Y30" s="93">
        <f>Y29*(1-VLOOKUP(Y$7+$A30-Parameters!$B$18-1,'Mortality tables'!$A$5:$E$125,3,FALSE))</f>
        <v>0.82091482900969814</v>
      </c>
      <c r="Z30" s="37">
        <f>IF($B30&gt;Parameters!$B$19,0,Y30*VLOOKUP(Y$7+'TA projections'!$A30-Parameters!$B$18,'Mortality tables'!$A$5:$C$125,3,FALSE)*Z$5*Z$6)</f>
        <v>4215.3976469647996</v>
      </c>
      <c r="AA30" s="92">
        <f>IF(B30&gt;Parameters!$B$19,0,SUM(Parameters!$C$5:$C$16)*Parameters!$B$46)</f>
        <v>11250</v>
      </c>
      <c r="AB30" s="63">
        <f t="shared" si="1"/>
        <v>2103057.6683260566</v>
      </c>
      <c r="AD30" s="57">
        <f t="shared" si="2"/>
        <v>2044</v>
      </c>
      <c r="AE30" s="30">
        <f>AD30-Parameters!$B$18+1</f>
        <v>23</v>
      </c>
      <c r="AF30" s="93">
        <f>AF29*(1-VLOOKUP(AF$7+$B29-1,'Mortality tables'!$A$5:$E$125,4,FALSE))</f>
        <v>0.96295572680850627</v>
      </c>
      <c r="AG30" s="37">
        <f>IF($B30&gt;Parameters!$B$19,0,AF30*VLOOKUP(AF$7+$B30-1,'Mortality tables'!$A$5:$E$125,4,FALSE)*AG$5*AG$6)</f>
        <v>10358.32216213374</v>
      </c>
      <c r="AH30" s="93">
        <f>AH29*(1-VLOOKUP(AH$7+$B29-1,'Mortality tables'!$A$5:$E$125,4,FALSE))</f>
        <v>0.94699874739367584</v>
      </c>
      <c r="AI30" s="37">
        <f>IF($B30&gt;Parameters!$B$19,0,AH30*VLOOKUP(AH$7+$B30-1,'Mortality tables'!$A$5:$E$125,4,FALSE)*AI$5*AI$6)</f>
        <v>3424.8777898740718</v>
      </c>
      <c r="AJ30" s="93">
        <f>AJ29*(1-VLOOKUP(AJ$7+$B29-1,'Mortality tables'!$A$5:$E$125,4,FALSE))</f>
        <v>0.91806364875340118</v>
      </c>
      <c r="AK30" s="37">
        <f>IF($B30&gt;Parameters!$B$19,0,AJ30*VLOOKUP(AJ$7+$B30-1,'Mortality tables'!$A$5:$E$125,4,FALSE)*AK$5*AK$6)</f>
        <v>6883.5494319881263</v>
      </c>
      <c r="AL30" s="93">
        <f>AL29*(1-VLOOKUP(AL$7+$B29-1,'Mortality tables'!$A$5:$E$125,4,FALSE))</f>
        <v>0.8709888639863077</v>
      </c>
      <c r="AM30" s="37">
        <f>IF($B30&gt;Parameters!$B$19,0,AL30*VLOOKUP(AL$7+$B30-1,'Mortality tables'!$A$5:$E$125,4,FALSE)*AM$5*AM$6)</f>
        <v>533588.68181074772</v>
      </c>
      <c r="AN30" s="93">
        <f>AN29*(1-VLOOKUP(AN$7+$B29-1,'Mortality tables'!$A$5:$E$125,4,FALSE))</f>
        <v>0.80578245753131095</v>
      </c>
      <c r="AO30" s="37">
        <f>IF($B30&gt;Parameters!$B$19,0,AN30*VLOOKUP(AN$7+$B30-1,'Mortality tables'!$A$5:$E$125,4,FALSE)*AO$5*AO$6)</f>
        <v>738122.51613732183</v>
      </c>
      <c r="AP30" s="93">
        <f>AP29*(1-VLOOKUP(AP$7+$B29-1,'Mortality tables'!$A$5:$E$125,4,FALSE))</f>
        <v>0.70972247858161952</v>
      </c>
      <c r="AQ30" s="37">
        <f>IF($B30&gt;Parameters!$B$19,0,AP30*VLOOKUP(AP$7+$B30-1,'Mortality tables'!$A$5:$E$125,4,FALSE)*AQ$5*AQ$6)</f>
        <v>663911.87981211604</v>
      </c>
      <c r="AR30" s="93">
        <f>AR29*(1-VLOOKUP(AR$7+$B29-1,'Mortality tables'!$A$5:$E$125,5,FALSE))</f>
        <v>0.95741095153060085</v>
      </c>
      <c r="AS30" s="41">
        <f>IF($B30&gt;Parameters!$B$19,0,AR30*VLOOKUP(AR$7+$B30-1,'Mortality tables'!$A$5:$E$125,5,FALSE)*AS$5*AS$6)</f>
        <v>3951.0435147764833</v>
      </c>
      <c r="AT30" s="93">
        <f>AT29*(1-VLOOKUP(AT$7+$B29-1,'Mortality tables'!$A$5:$E$125,5,FALSE))</f>
        <v>0.93917201058424737</v>
      </c>
      <c r="AU30" s="54">
        <f>IF($B30&gt;Parameters!$B$19,0,AT30*VLOOKUP(AT$7+$B30-1,'Mortality tables'!$A$5:$E$125,5,FALSE)*AU$5*AU$6)</f>
        <v>21993.952771266664</v>
      </c>
      <c r="AV30" s="93">
        <f>AV29*(1-VLOOKUP(AV$7+$B29-1,'Mortality tables'!$A$5:$E$125,5,FALSE))</f>
        <v>0.91601826513845419</v>
      </c>
      <c r="AW30" s="54">
        <f>IF($B30&gt;Parameters!$B$19,0,AV30*VLOOKUP(AV$7+$B30-1,'Mortality tables'!$A$5:$E$125,5,FALSE)*AW$5*AW$6)</f>
        <v>168785.52553441154</v>
      </c>
      <c r="AX30" s="93">
        <f>AX29*(1-VLOOKUP(AX$7+$B29-1,'Mortality tables'!$A$5:$E$125,5,FALSE))</f>
        <v>0.88851272037759443</v>
      </c>
      <c r="AY30" s="54">
        <f>IF($B30&gt;Parameters!$B$19,0,AX30*VLOOKUP(AX$7+$B30-1,'Mortality tables'!$A$5:$E$125,5,FALSE)*AY$5*AY$6)</f>
        <v>250936.96113483355</v>
      </c>
      <c r="AZ30" s="93">
        <f>AZ29*(1-VLOOKUP(AZ$7+$B29-1,'Mortality tables'!$A$5:$E$125,5,FALSE))</f>
        <v>0.84903698669305572</v>
      </c>
      <c r="BA30" s="54">
        <f>IF($B30&gt;Parameters!$B$19,0,AZ30*VLOOKUP(AZ$7+$B30-1,'Mortality tables'!$A$5:$E$125,5,FALSE)*BA$5*BA$6)</f>
        <v>15708.135175246627</v>
      </c>
      <c r="BB30" s="93">
        <f>BB29*(1-VLOOKUP(BB$7+$B29-1,'Mortality tables'!$A$5:$E$125,5,FALSE))</f>
        <v>0.78894040889531369</v>
      </c>
      <c r="BC30" s="54">
        <f>IF($B30&gt;Parameters!$B$19,0,BB30*VLOOKUP(BB$7+$B30-1,'Mortality tables'!$A$5:$E$125,5,FALSE)*BC$5*BC$6)</f>
        <v>4861.4507996129223</v>
      </c>
      <c r="BD30" s="92">
        <f>AA30*(1+Parameters!$B$54)</f>
        <v>12375.000000000002</v>
      </c>
      <c r="BE30" s="63">
        <f t="shared" si="3"/>
        <v>2434901.8960743295</v>
      </c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5"/>
    </row>
    <row r="31" spans="1:72">
      <c r="A31" s="57">
        <f t="shared" si="0"/>
        <v>2045</v>
      </c>
      <c r="B31" s="30">
        <f>A31-Parameters!$B$18+1</f>
        <v>24</v>
      </c>
      <c r="C31" s="93">
        <f>C30*(1-VLOOKUP(C$7+$B30-1,'Mortality tables'!$A$5:$E$125,2,FALSE))</f>
        <v>0.96614252625211228</v>
      </c>
      <c r="D31" s="37">
        <f>IF($B31&gt;Parameters!$B$19,0,C31*VLOOKUP(C$7+$B31-1,'Mortality tables'!$A$5:$B$125,2,FALSE)*D$5*D$6)</f>
        <v>9587.9984305259622</v>
      </c>
      <c r="E31" s="93">
        <f>E30*(1-VLOOKUP(E$7+$B30-1,'Mortality tables'!$A$5:$E$125,2,FALSE))</f>
        <v>0.95084408244044727</v>
      </c>
      <c r="F31" s="37">
        <f>IF($B31&gt;Parameters!$B$19,0,E31*VLOOKUP(E$7+$B31-1,'Mortality tables'!$A$5:$B$125,2,FALSE)*F$5*F$6)</f>
        <v>3181.1439622127609</v>
      </c>
      <c r="G31" s="93">
        <f>G30*(1-VLOOKUP(G$7+$B30-1,'Mortality tables'!$A$5:$E$125,2,FALSE))</f>
        <v>0.92350859483270753</v>
      </c>
      <c r="H31" s="37">
        <f>IF($B31&gt;Parameters!$B$19,0,G31*VLOOKUP(G$7+$B31-1,'Mortality tables'!$A$5:$B$125,2,FALSE)*H$5*H$6)</f>
        <v>6337.5777320394554</v>
      </c>
      <c r="I31" s="93">
        <f>I30*(1-VLOOKUP(I$7+$B30-1,'Mortality tables'!$A$5:$E$125,2,FALSE))</f>
        <v>0.87996961135081841</v>
      </c>
      <c r="J31" s="37">
        <f>IF($B31&gt;Parameters!$B$19,0,I31*VLOOKUP(I$7+$B31-1,'Mortality tables'!$A$5:$B$125,2,FALSE)*J$5*J$6)</f>
        <v>481836.16039125406</v>
      </c>
      <c r="K31" s="93">
        <f>K30*(1-VLOOKUP(K$7+$B30-1,'Mortality tables'!$A$5:$E$125,2,FALSE))</f>
        <v>0.81952772761374404</v>
      </c>
      <c r="L31" s="37">
        <f>IF($B31&gt;Parameters!$B$19,0,K31*VLOOKUP(K$7+$B31-1,'Mortality tables'!$A$5:$B$125,2,FALSE)*L$5*L$6)</f>
        <v>694893.95079824585</v>
      </c>
      <c r="M31" s="93">
        <f>M30*(1-VLOOKUP(M$7+$B30-1,'Mortality tables'!$A$5:$E$125,2,FALSE))</f>
        <v>0.72740968942202477</v>
      </c>
      <c r="N31" s="37">
        <f>IF($B31&gt;Parameters!$B$19,0,M31*VLOOKUP(M$7+$B31-1,'Mortality tables'!$A$5:$B$125,2,FALSE)*N$5*N$6)</f>
        <v>633265.41777826857</v>
      </c>
      <c r="O31" s="93">
        <f>O30*(1-VLOOKUP(O$7+$A31-Parameters!$B$18-1,'Mortality tables'!$A$5:$E$125,3,FALSE))</f>
        <v>0.96107155109520226</v>
      </c>
      <c r="P31" s="41">
        <f>IF($B31&gt;Parameters!$B$19,0,O31*VLOOKUP(O$7+$B31-1,'Mortality tables'!$A$5:$C$125,3,FALSE)*P$5*P$6)</f>
        <v>3535.7822364792491</v>
      </c>
      <c r="Q31" s="93">
        <f>Q30*(1-VLOOKUP(Q$7+$A31-Parameters!$B$18-1,'Mortality tables'!$A$5:$E$125,3,FALSE))</f>
        <v>0.94457090628855966</v>
      </c>
      <c r="R31" s="37">
        <f>IF($B31&gt;Parameters!$B$19,0,Q31*VLOOKUP(Q$7+$B31-1,'Mortality tables'!$A$5:$C$125,3,FALSE)*R$5*R$6)</f>
        <v>19528.531202062826</v>
      </c>
      <c r="S31" s="93">
        <f>S30*(1-VLOOKUP(S$7+$A31-Parameters!$B$18-1,'Mortality tables'!$A$5:$E$125,3,FALSE))</f>
        <v>0.92382589998210707</v>
      </c>
      <c r="T31" s="37">
        <f>IF($B31&gt;Parameters!$B$19,0,S31*VLOOKUP(S$7+'TA projections'!$A31-Parameters!$B$18,'Mortality tables'!$A$5:$C$125,3,FALSE)*T$5*T$6)</f>
        <v>148112.38741463132</v>
      </c>
      <c r="U31" s="93">
        <f>U30*(1-VLOOKUP(U$7+$A31-Parameters!$B$18-1,'Mortality tables'!$A$5:$E$125,3,FALSE))</f>
        <v>0.89875259209320291</v>
      </c>
      <c r="V31" s="37">
        <f>IF($B31&gt;Parameters!$B$19,0,U31*VLOOKUP(U$7+'TA projections'!$A31-Parameters!$B$18,'Mortality tables'!$A$5:$C$125,3,FALSE)*V$5*V$6)</f>
        <v>231298.47333814623</v>
      </c>
      <c r="W31" s="93">
        <f>W30*(1-VLOOKUP(W$7+$A31-Parameters!$B$18-1,'Mortality tables'!$A$5:$E$125,3,FALSE))</f>
        <v>0.86138793826704463</v>
      </c>
      <c r="X31" s="37">
        <f>IF($B31&gt;Parameters!$B$19,0,W31*VLOOKUP(W$7+'TA projections'!$A31-Parameters!$B$18,'Mortality tables'!$A$5:$C$125,3,FALSE)*X$5*X$6)</f>
        <v>14511.630318397247</v>
      </c>
      <c r="Y31" s="93">
        <f>Y30*(1-VLOOKUP(Y$7+$A31-Parameters!$B$18-1,'Mortality tables'!$A$5:$E$125,3,FALSE))</f>
        <v>0.80405323842183896</v>
      </c>
      <c r="Z31" s="37">
        <f>IF($B31&gt;Parameters!$B$19,0,Y31*VLOOKUP(Y$7+'TA projections'!$A31-Parameters!$B$18,'Mortality tables'!$A$5:$C$125,3,FALSE)*Z$5*Z$6)</f>
        <v>4579.2842061219781</v>
      </c>
      <c r="AA31" s="92">
        <f>IF(B31&gt;Parameters!$B$19,0,SUM(Parameters!$C$5:$C$16)*Parameters!$B$46)</f>
        <v>11250</v>
      </c>
      <c r="AB31" s="63">
        <f t="shared" si="1"/>
        <v>2261918.3378083855</v>
      </c>
      <c r="AD31" s="57">
        <f t="shared" si="2"/>
        <v>2045</v>
      </c>
      <c r="AE31" s="30">
        <f>AD31-Parameters!$B$18+1</f>
        <v>24</v>
      </c>
      <c r="AF31" s="93">
        <f>AF30*(1-VLOOKUP(AF$7+$B30-1,'Mortality tables'!$A$5:$E$125,4,FALSE))</f>
        <v>0.95950295275446174</v>
      </c>
      <c r="AG31" s="37">
        <f>IF($B31&gt;Parameters!$B$19,0,AF31*VLOOKUP(AF$7+$B31-1,'Mortality tables'!$A$5:$E$125,4,FALSE)*AG$5*AG$6)</f>
        <v>11426.528763762333</v>
      </c>
      <c r="AH31" s="93">
        <f>AH30*(1-VLOOKUP(AH$7+$B30-1,'Mortality tables'!$A$5:$E$125,4,FALSE))</f>
        <v>0.94129061774388567</v>
      </c>
      <c r="AI31" s="37">
        <f>IF($B31&gt;Parameters!$B$19,0,AH31*VLOOKUP(AH$7+$B31-1,'Mortality tables'!$A$5:$E$125,4,FALSE)*AI$5*AI$6)</f>
        <v>3779.0182688687328</v>
      </c>
      <c r="AJ31" s="93">
        <f>AJ30*(1-VLOOKUP(AJ$7+$B30-1,'Mortality tables'!$A$5:$E$125,4,FALSE))</f>
        <v>0.90888558284408361</v>
      </c>
      <c r="AK31" s="37">
        <f>IF($B31&gt;Parameters!$B$19,0,AJ31*VLOOKUP(AJ$7+$B31-1,'Mortality tables'!$A$5:$E$125,4,FALSE)*AK$5*AK$6)</f>
        <v>7484.6727747210289</v>
      </c>
      <c r="AL31" s="93">
        <f>AL30*(1-VLOOKUP(AL$7+$B30-1,'Mortality tables'!$A$5:$E$125,4,FALSE))</f>
        <v>0.857649146941039</v>
      </c>
      <c r="AM31" s="37">
        <f>IF($B31&gt;Parameters!$B$19,0,AL31*VLOOKUP(AL$7+$B31-1,'Mortality tables'!$A$5:$E$125,4,FALSE)*AM$5*AM$6)</f>
        <v>563537.24027884228</v>
      </c>
      <c r="AN31" s="93">
        <f>AN30*(1-VLOOKUP(AN$7+$B30-1,'Mortality tables'!$A$5:$E$125,4,FALSE))</f>
        <v>0.78732939462787799</v>
      </c>
      <c r="AO31" s="37">
        <f>IF($B31&gt;Parameters!$B$19,0,AN31*VLOOKUP(AN$7+$B31-1,'Mortality tables'!$A$5:$E$125,4,FALSE)*AO$5*AO$6)</f>
        <v>801110.80835144431</v>
      </c>
      <c r="AP31" s="93">
        <f>AP30*(1-VLOOKUP(AP$7+$B30-1,'Mortality tables'!$A$5:$E$125,4,FALSE))</f>
        <v>0.68205948358944801</v>
      </c>
      <c r="AQ31" s="37">
        <f>IF($B31&gt;Parameters!$B$19,0,AP31*VLOOKUP(AP$7+$B31-1,'Mortality tables'!$A$5:$E$125,4,FALSE)*AQ$5*AQ$6)</f>
        <v>712541.54038244078</v>
      </c>
      <c r="AR31" s="93">
        <f>AR30*(1-VLOOKUP(AR$7+$B30-1,'Mortality tables'!$A$5:$E$125,5,FALSE))</f>
        <v>0.95345990801582436</v>
      </c>
      <c r="AS31" s="41">
        <f>IF($B31&gt;Parameters!$B$19,0,AR31*VLOOKUP(AR$7+$B31-1,'Mortality tables'!$A$5:$E$125,5,FALSE)*AS$5*AS$6)</f>
        <v>4209.3348019082614</v>
      </c>
      <c r="AT31" s="93">
        <f>AT30*(1-VLOOKUP(AT$7+$B30-1,'Mortality tables'!$A$5:$E$125,5,FALSE))</f>
        <v>0.93384014324575848</v>
      </c>
      <c r="AU31" s="54">
        <f>IF($B31&gt;Parameters!$B$19,0,AT31*VLOOKUP(AT$7+$B31-1,'Mortality tables'!$A$5:$E$125,5,FALSE)*AU$5*AU$6)</f>
        <v>23168.013649841319</v>
      </c>
      <c r="AV31" s="93">
        <f>AV30*(1-VLOOKUP(AV$7+$B30-1,'Mortality tables'!$A$5:$E$125,5,FALSE))</f>
        <v>0.9092668441170777</v>
      </c>
      <c r="AW31" s="54">
        <f>IF($B31&gt;Parameters!$B$19,0,AV31*VLOOKUP(AV$7+$B31-1,'Mortality tables'!$A$5:$E$125,5,FALSE)*AW$5*AW$6)</f>
        <v>174933.84813968459</v>
      </c>
      <c r="AX31" s="93">
        <f>AX30*(1-VLOOKUP(AX$7+$B30-1,'Mortality tables'!$A$5:$E$125,5,FALSE))</f>
        <v>0.87970791472374066</v>
      </c>
      <c r="AY31" s="54">
        <f>IF($B31&gt;Parameters!$B$19,0,AX31*VLOOKUP(AX$7+$B31-1,'Mortality tables'!$A$5:$E$125,5,FALSE)*AY$5*AY$6)</f>
        <v>271676.67647247395</v>
      </c>
      <c r="AZ31" s="93">
        <f>AZ30*(1-VLOOKUP(AZ$7+$B30-1,'Mortality tables'!$A$5:$E$125,5,FALSE))</f>
        <v>0.83594687404701684</v>
      </c>
      <c r="BA31" s="54">
        <f>IF($B31&gt;Parameters!$B$19,0,AZ31*VLOOKUP(AZ$7+$B31-1,'Mortality tables'!$A$5:$E$125,5,FALSE)*BA$5*BA$6)</f>
        <v>16899.63575723434</v>
      </c>
      <c r="BB31" s="93">
        <f>BB30*(1-VLOOKUP(BB$7+$B30-1,'Mortality tables'!$A$5:$E$125,5,FALSE))</f>
        <v>0.76949460569686201</v>
      </c>
      <c r="BC31" s="54">
        <f>IF($B31&gt;Parameters!$B$19,0,BB31*VLOOKUP(BB$7+$B31-1,'Mortality tables'!$A$5:$E$125,5,FALSE)*BC$5*BC$6)</f>
        <v>5258.9569837140634</v>
      </c>
      <c r="BD31" s="92">
        <f>AA31*(1+Parameters!$B$54)</f>
        <v>12375.000000000002</v>
      </c>
      <c r="BE31" s="63">
        <f t="shared" si="3"/>
        <v>2608401.2746249358</v>
      </c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5"/>
    </row>
    <row r="32" spans="1:72">
      <c r="A32" s="57">
        <f t="shared" si="0"/>
        <v>2046</v>
      </c>
      <c r="B32" s="30">
        <f>A32-Parameters!$B$18+1</f>
        <v>25</v>
      </c>
      <c r="C32" s="93">
        <f>C31*(1-VLOOKUP(C$7+$B31-1,'Mortality tables'!$A$5:$E$125,2,FALSE))</f>
        <v>0.96294652677527026</v>
      </c>
      <c r="D32" s="37">
        <f>IF($B32&gt;Parameters!$B$19,0,C32*VLOOKUP(C$7+$B32-1,'Mortality tables'!$A$5:$B$125,2,FALSE)*D$5*D$6)</f>
        <v>10596.263580635074</v>
      </c>
      <c r="E32" s="93">
        <f>E31*(1-VLOOKUP(E$7+$B31-1,'Mortality tables'!$A$5:$E$125,2,FALSE))</f>
        <v>0.94554217583675926</v>
      </c>
      <c r="F32" s="37">
        <f>IF($B32&gt;Parameters!$B$19,0,E32*VLOOKUP(E$7+$B32-1,'Mortality tables'!$A$5:$B$125,2,FALSE)*F$5*F$6)</f>
        <v>3507.77236391921</v>
      </c>
      <c r="G32" s="93">
        <f>G31*(1-VLOOKUP(G$7+$B31-1,'Mortality tables'!$A$5:$E$125,2,FALSE))</f>
        <v>0.91505849118998828</v>
      </c>
      <c r="H32" s="37">
        <f>IF($B32&gt;Parameters!$B$19,0,G32*VLOOKUP(G$7+$B32-1,'Mortality tables'!$A$5:$B$125,2,FALSE)*H$5*H$6)</f>
        <v>6871.1742103456218</v>
      </c>
      <c r="I32" s="93">
        <f>I31*(1-VLOOKUP(I$7+$B31-1,'Mortality tables'!$A$5:$E$125,2,FALSE))</f>
        <v>0.86792370734103708</v>
      </c>
      <c r="J32" s="37">
        <f>IF($B32&gt;Parameters!$B$19,0,I32*VLOOKUP(I$7+$B32-1,'Mortality tables'!$A$5:$B$125,2,FALSE)*J$5*J$6)</f>
        <v>506520.2756042293</v>
      </c>
      <c r="K32" s="93">
        <f>K31*(1-VLOOKUP(K$7+$B31-1,'Mortality tables'!$A$5:$E$125,2,FALSE))</f>
        <v>0.80215537884378785</v>
      </c>
      <c r="L32" s="37">
        <f>IF($B32&gt;Parameters!$B$19,0,K32*VLOOKUP(K$7+$B32-1,'Mortality tables'!$A$5:$B$125,2,FALSE)*L$5*L$6)</f>
        <v>755662.45308600191</v>
      </c>
      <c r="M32" s="93">
        <f>M31*(1-VLOOKUP(M$7+$B31-1,'Mortality tables'!$A$5:$E$125,2,FALSE))</f>
        <v>0.70102363034793025</v>
      </c>
      <c r="N32" s="37">
        <f>IF($B32&gt;Parameters!$B$19,0,M32*VLOOKUP(M$7+$B32-1,'Mortality tables'!$A$5:$B$125,2,FALSE)*N$5*N$6)</f>
        <v>683043.77627676667</v>
      </c>
      <c r="O32" s="93">
        <f>O31*(1-VLOOKUP(O$7+$A32-Parameters!$B$18-1,'Mortality tables'!$A$5:$E$125,3,FALSE))</f>
        <v>0.95753576885872305</v>
      </c>
      <c r="P32" s="41">
        <f>IF($B32&gt;Parameters!$B$19,0,O32*VLOOKUP(O$7+$B32-1,'Mortality tables'!$A$5:$C$125,3,FALSE)*P$5*P$6)</f>
        <v>3762.1580358459228</v>
      </c>
      <c r="Q32" s="93">
        <f>Q31*(1-VLOOKUP(Q$7+$A32-Parameters!$B$18-1,'Mortality tables'!$A$5:$E$125,3,FALSE))</f>
        <v>0.93983671690624138</v>
      </c>
      <c r="R32" s="37">
        <f>IF($B32&gt;Parameters!$B$19,0,Q32*VLOOKUP(Q$7+$B32-1,'Mortality tables'!$A$5:$C$125,3,FALSE)*R$5*R$6)</f>
        <v>20527.79609107651</v>
      </c>
      <c r="S32" s="93">
        <f>S31*(1-VLOOKUP(S$7+$A32-Parameters!$B$18-1,'Mortality tables'!$A$5:$E$125,3,FALSE))</f>
        <v>0.91790140448552182</v>
      </c>
      <c r="T32" s="37">
        <f>IF($B32&gt;Parameters!$B$19,0,S32*VLOOKUP(S$7+'TA projections'!$A32-Parameters!$B$18,'Mortality tables'!$A$5:$C$125,3,FALSE)*T$5*T$6)</f>
        <v>153105.95426818504</v>
      </c>
      <c r="U32" s="93">
        <f>U31*(1-VLOOKUP(U$7+$A32-Parameters!$B$18-1,'Mortality tables'!$A$5:$E$125,3,FALSE))</f>
        <v>0.89063685618660127</v>
      </c>
      <c r="V32" s="37">
        <f>IF($B32&gt;Parameters!$B$19,0,U32*VLOOKUP(U$7+'TA projections'!$A32-Parameters!$B$18,'Mortality tables'!$A$5:$C$125,3,FALSE)*V$5*V$6)</f>
        <v>250582.46076181266</v>
      </c>
      <c r="W32" s="93">
        <f>W31*(1-VLOOKUP(W$7+$A32-Parameters!$B$18-1,'Mortality tables'!$A$5:$E$125,3,FALSE))</f>
        <v>0.84929491300171356</v>
      </c>
      <c r="X32" s="37">
        <f>IF($B32&gt;Parameters!$B$19,0,W32*VLOOKUP(W$7+'TA projections'!$A32-Parameters!$B$18,'Mortality tables'!$A$5:$C$125,3,FALSE)*X$5*X$6)</f>
        <v>15665.414529299207</v>
      </c>
      <c r="Y32" s="93">
        <f>Y31*(1-VLOOKUP(Y$7+$A32-Parameters!$B$18-1,'Mortality tables'!$A$5:$E$125,3,FALSE))</f>
        <v>0.78573610159735097</v>
      </c>
      <c r="Z32" s="37">
        <f>IF($B32&gt;Parameters!$B$19,0,Y32*VLOOKUP(Y$7+'TA projections'!$A32-Parameters!$B$18,'Mortality tables'!$A$5:$C$125,3,FALSE)*Z$5*Z$6)</f>
        <v>4980.3882799748098</v>
      </c>
      <c r="AA32" s="92">
        <f>IF(B32&gt;Parameters!$B$19,0,SUM(Parameters!$C$5:$C$16)*Parameters!$B$46)</f>
        <v>11250</v>
      </c>
      <c r="AB32" s="63">
        <f t="shared" si="1"/>
        <v>2426075.887088092</v>
      </c>
      <c r="AD32" s="57">
        <f t="shared" si="2"/>
        <v>2046</v>
      </c>
      <c r="AE32" s="30">
        <f>AD32-Parameters!$B$18+1</f>
        <v>25</v>
      </c>
      <c r="AF32" s="93">
        <f>AF31*(1-VLOOKUP(AF$7+$B31-1,'Mortality tables'!$A$5:$E$125,4,FALSE))</f>
        <v>0.95569410983320757</v>
      </c>
      <c r="AG32" s="37">
        <f>IF($B32&gt;Parameters!$B$19,0,AF32*VLOOKUP(AF$7+$B32-1,'Mortality tables'!$A$5:$E$125,4,FALSE)*AG$5*AG$6)</f>
        <v>12619.749581525539</v>
      </c>
      <c r="AH32" s="93">
        <f>AH31*(1-VLOOKUP(AH$7+$B31-1,'Mortality tables'!$A$5:$E$125,4,FALSE))</f>
        <v>0.93499225396243779</v>
      </c>
      <c r="AI32" s="37">
        <f>IF($B32&gt;Parameters!$B$19,0,AH32*VLOOKUP(AH$7+$B32-1,'Mortality tables'!$A$5:$E$125,4,FALSE)*AI$5*AI$6)</f>
        <v>4162.3611164998219</v>
      </c>
      <c r="AJ32" s="93">
        <f>AJ31*(1-VLOOKUP(AJ$7+$B31-1,'Mortality tables'!$A$5:$E$125,4,FALSE))</f>
        <v>0.89890601914445556</v>
      </c>
      <c r="AK32" s="37">
        <f>IF($B32&gt;Parameters!$B$19,0,AJ32*VLOOKUP(AJ$7+$B32-1,'Mortality tables'!$A$5:$E$125,4,FALSE)*AK$5*AK$6)</f>
        <v>8099.8623573068598</v>
      </c>
      <c r="AL32" s="93">
        <f>AL31*(1-VLOOKUP(AL$7+$B31-1,'Mortality tables'!$A$5:$E$125,4,FALSE))</f>
        <v>0.84356071593406801</v>
      </c>
      <c r="AM32" s="37">
        <f>IF($B32&gt;Parameters!$B$19,0,AL32*VLOOKUP(AL$7+$B32-1,'Mortality tables'!$A$5:$E$125,4,FALSE)*AM$5*AM$6)</f>
        <v>590762.44058294641</v>
      </c>
      <c r="AN32" s="93">
        <f>AN31*(1-VLOOKUP(AN$7+$B31-1,'Mortality tables'!$A$5:$E$125,4,FALSE))</f>
        <v>0.76730162441909189</v>
      </c>
      <c r="AO32" s="37">
        <f>IF($B32&gt;Parameters!$B$19,0,AN32*VLOOKUP(AN$7+$B32-1,'Mortality tables'!$A$5:$E$125,4,FALSE)*AO$5*AO$6)</f>
        <v>867394.58672131354</v>
      </c>
      <c r="AP32" s="93">
        <f>AP31*(1-VLOOKUP(AP$7+$B31-1,'Mortality tables'!$A$5:$E$125,4,FALSE))</f>
        <v>0.65237025274017968</v>
      </c>
      <c r="AQ32" s="37">
        <f>IF($B32&gt;Parameters!$B$19,0,AP32*VLOOKUP(AP$7+$B32-1,'Mortality tables'!$A$5:$E$125,4,FALSE)*AQ$5*AQ$6)</f>
        <v>762765.91259747942</v>
      </c>
      <c r="AR32" s="93">
        <f>AR31*(1-VLOOKUP(AR$7+$B31-1,'Mortality tables'!$A$5:$E$125,5,FALSE))</f>
        <v>0.94925057321391604</v>
      </c>
      <c r="AS32" s="41">
        <f>IF($B32&gt;Parameters!$B$19,0,AR32*VLOOKUP(AR$7+$B32-1,'Mortality tables'!$A$5:$E$125,5,FALSE)*AS$5*AS$6)</f>
        <v>4475.5266025889714</v>
      </c>
      <c r="AT32" s="93">
        <f>AT31*(1-VLOOKUP(AT$7+$B31-1,'Mortality tables'!$A$5:$E$125,5,FALSE))</f>
        <v>0.92822365508822124</v>
      </c>
      <c r="AU32" s="54">
        <f>IF($B32&gt;Parameters!$B$19,0,AT32*VLOOKUP(AT$7+$B32-1,'Mortality tables'!$A$5:$E$125,5,FALSE)*AU$5*AU$6)</f>
        <v>24328.974055776052</v>
      </c>
      <c r="AV32" s="93">
        <f>AV31*(1-VLOOKUP(AV$7+$B31-1,'Mortality tables'!$A$5:$E$125,5,FALSE))</f>
        <v>0.90226949019149028</v>
      </c>
      <c r="AW32" s="54">
        <f>IF($B32&gt;Parameters!$B$19,0,AV32*VLOOKUP(AV$7+$B32-1,'Mortality tables'!$A$5:$E$125,5,FALSE)*AW$5*AW$6)</f>
        <v>180598.26115672869</v>
      </c>
      <c r="AX32" s="93">
        <f>AX31*(1-VLOOKUP(AX$7+$B31-1,'Mortality tables'!$A$5:$E$125,5,FALSE))</f>
        <v>0.87017539975979419</v>
      </c>
      <c r="AY32" s="54">
        <f>IF($B32&gt;Parameters!$B$19,0,AX32*VLOOKUP(AX$7+$B32-1,'Mortality tables'!$A$5:$E$125,5,FALSE)*AY$5*AY$6)</f>
        <v>293790.70688786113</v>
      </c>
      <c r="AZ32" s="93">
        <f>AZ31*(1-VLOOKUP(AZ$7+$B31-1,'Mortality tables'!$A$5:$E$125,5,FALSE))</f>
        <v>0.82186384424932146</v>
      </c>
      <c r="BA32" s="54">
        <f>IF($B32&gt;Parameters!$B$19,0,AZ32*VLOOKUP(AZ$7+$B32-1,'Mortality tables'!$A$5:$E$125,5,FALSE)*BA$5*BA$6)</f>
        <v>18191.3315759371</v>
      </c>
      <c r="BB32" s="93">
        <f>BB31*(1-VLOOKUP(BB$7+$B31-1,'Mortality tables'!$A$5:$E$125,5,FALSE))</f>
        <v>0.74845877776200576</v>
      </c>
      <c r="BC32" s="54">
        <f>IF($B32&gt;Parameters!$B$19,0,BB32*VLOOKUP(BB$7+$B32-1,'Mortality tables'!$A$5:$E$125,5,FALSE)*BC$5*BC$6)</f>
        <v>5692.9271554133684</v>
      </c>
      <c r="BD32" s="92">
        <f>AA32*(1+Parameters!$B$54)</f>
        <v>12375.000000000002</v>
      </c>
      <c r="BE32" s="63">
        <f t="shared" si="3"/>
        <v>2785257.6403913763</v>
      </c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5"/>
    </row>
    <row r="33" spans="1:72">
      <c r="A33" s="57">
        <f t="shared" si="0"/>
        <v>2047</v>
      </c>
      <c r="B33" s="30">
        <f>A33-Parameters!$B$18+1</f>
        <v>26</v>
      </c>
      <c r="C33" s="93">
        <f>C32*(1-VLOOKUP(C$7+$B32-1,'Mortality tables'!$A$5:$E$125,2,FALSE))</f>
        <v>0.95941443891505862</v>
      </c>
      <c r="D33" s="37">
        <f>IF($B33&gt;Parameters!$B$19,0,C33*VLOOKUP(C$7+$B33-1,'Mortality tables'!$A$5:$B$125,2,FALSE)*D$5*D$6)</f>
        <v>11720.206785786357</v>
      </c>
      <c r="E33" s="93">
        <f>E32*(1-VLOOKUP(E$7+$B32-1,'Mortality tables'!$A$5:$E$125,2,FALSE))</f>
        <v>0.93969588856356057</v>
      </c>
      <c r="F33" s="37">
        <f>IF($B33&gt;Parameters!$B$19,0,E33*VLOOKUP(E$7+$B33-1,'Mortality tables'!$A$5:$B$125,2,FALSE)*F$5*F$6)</f>
        <v>3859.331014330543</v>
      </c>
      <c r="G33" s="93">
        <f>G32*(1-VLOOKUP(G$7+$B32-1,'Mortality tables'!$A$5:$E$125,2,FALSE))</f>
        <v>0.90589692557619406</v>
      </c>
      <c r="H33" s="37">
        <f>IF($B33&gt;Parameters!$B$19,0,G33*VLOOKUP(G$7+$B33-1,'Mortality tables'!$A$5:$B$125,2,FALSE)*H$5*H$6)</f>
        <v>7412.5015935272077</v>
      </c>
      <c r="I33" s="93">
        <f>I32*(1-VLOOKUP(I$7+$B32-1,'Mortality tables'!$A$5:$E$125,2,FALSE))</f>
        <v>0.85526070045093139</v>
      </c>
      <c r="J33" s="37">
        <f>IF($B33&gt;Parameters!$B$19,0,I33*VLOOKUP(I$7+$B33-1,'Mortality tables'!$A$5:$B$125,2,FALSE)*J$5*J$6)</f>
        <v>528448.48159462155</v>
      </c>
      <c r="K33" s="93">
        <f>K32*(1-VLOOKUP(K$7+$B32-1,'Mortality tables'!$A$5:$E$125,2,FALSE))</f>
        <v>0.78326381751663776</v>
      </c>
      <c r="L33" s="37">
        <f>IF($B33&gt;Parameters!$B$19,0,K33*VLOOKUP(K$7+$B33-1,'Mortality tables'!$A$5:$B$125,2,FALSE)*L$5*L$6)</f>
        <v>820327.86136152525</v>
      </c>
      <c r="M33" s="93">
        <f>M32*(1-VLOOKUP(M$7+$B32-1,'Mortality tables'!$A$5:$E$125,2,FALSE))</f>
        <v>0.67256347300306496</v>
      </c>
      <c r="N33" s="37">
        <f>IF($B33&gt;Parameters!$B$19,0,M33*VLOOKUP(M$7+$B33-1,'Mortality tables'!$A$5:$B$125,2,FALSE)*N$5*N$6)</f>
        <v>735052.69040672574</v>
      </c>
      <c r="O33" s="93">
        <f>O32*(1-VLOOKUP(O$7+$A33-Parameters!$B$18-1,'Mortality tables'!$A$5:$E$125,3,FALSE))</f>
        <v>0.95377361082287715</v>
      </c>
      <c r="P33" s="41">
        <f>IF($B33&gt;Parameters!$B$19,0,O33*VLOOKUP(O$7+$B33-1,'Mortality tables'!$A$5:$C$125,3,FALSE)*P$5*P$6)</f>
        <v>3994.4038821262093</v>
      </c>
      <c r="Q33" s="93">
        <f>Q32*(1-VLOOKUP(Q$7+$A33-Parameters!$B$18-1,'Mortality tables'!$A$5:$E$125,3,FALSE))</f>
        <v>0.93486028149022282</v>
      </c>
      <c r="R33" s="37">
        <f>IF($B33&gt;Parameters!$B$19,0,Q33*VLOOKUP(Q$7+$B33-1,'Mortality tables'!$A$5:$C$125,3,FALSE)*R$5*R$6)</f>
        <v>21518.146529201204</v>
      </c>
      <c r="S33" s="93">
        <f>S32*(1-VLOOKUP(S$7+$A33-Parameters!$B$18-1,'Mortality tables'!$A$5:$E$125,3,FALSE))</f>
        <v>0.91177716631479444</v>
      </c>
      <c r="T33" s="37">
        <f>IF($B33&gt;Parameters!$B$19,0,S33*VLOOKUP(S$7+'TA projections'!$A33-Parameters!$B$18,'Mortality tables'!$A$5:$C$125,3,FALSE)*T$5*T$6)</f>
        <v>157714.65534330157</v>
      </c>
      <c r="U33" s="93">
        <f>U32*(1-VLOOKUP(U$7+$A33-Parameters!$B$18-1,'Mortality tables'!$A$5:$E$125,3,FALSE))</f>
        <v>0.88184448914232716</v>
      </c>
      <c r="V33" s="37">
        <f>IF($B33&gt;Parameters!$B$19,0,U33*VLOOKUP(U$7+'TA projections'!$A33-Parameters!$B$18,'Mortality tables'!$A$5:$C$125,3,FALSE)*V$5*V$6)</f>
        <v>271029.61267095938</v>
      </c>
      <c r="W33" s="93">
        <f>W32*(1-VLOOKUP(W$7+$A33-Parameters!$B$18-1,'Mortality tables'!$A$5:$E$125,3,FALSE))</f>
        <v>0.83624040089396423</v>
      </c>
      <c r="X33" s="37">
        <f>IF($B33&gt;Parameters!$B$19,0,W33*VLOOKUP(W$7+'TA projections'!$A33-Parameters!$B$18,'Mortality tables'!$A$5:$C$125,3,FALSE)*X$5*X$6)</f>
        <v>16933.868118102775</v>
      </c>
      <c r="Y33" s="93">
        <f>Y32*(1-VLOOKUP(Y$7+$A33-Parameters!$B$18-1,'Mortality tables'!$A$5:$E$125,3,FALSE))</f>
        <v>0.76581454847745178</v>
      </c>
      <c r="Z33" s="37">
        <f>IF($B33&gt;Parameters!$B$19,0,Y33*VLOOKUP(Y$7+'TA projections'!$A33-Parameters!$B$18,'Mortality tables'!$A$5:$C$125,3,FALSE)*Z$5*Z$6)</f>
        <v>5418.712291389329</v>
      </c>
      <c r="AA33" s="92">
        <f>IF(B33&gt;Parameters!$B$19,0,SUM(Parameters!$C$5:$C$16)*Parameters!$B$46)</f>
        <v>11250</v>
      </c>
      <c r="AB33" s="63">
        <f t="shared" si="1"/>
        <v>2594680.4715915974</v>
      </c>
      <c r="AD33" s="57">
        <f t="shared" si="2"/>
        <v>2047</v>
      </c>
      <c r="AE33" s="30">
        <f>AD33-Parameters!$B$18+1</f>
        <v>26</v>
      </c>
      <c r="AF33" s="93">
        <f>AF32*(1-VLOOKUP(AF$7+$B32-1,'Mortality tables'!$A$5:$E$125,4,FALSE))</f>
        <v>0.95148752663936575</v>
      </c>
      <c r="AG33" s="37">
        <f>IF($B33&gt;Parameters!$B$19,0,AF33*VLOOKUP(AF$7+$B33-1,'Mortality tables'!$A$5:$E$125,4,FALSE)*AG$5*AG$6)</f>
        <v>13948.045950511789</v>
      </c>
      <c r="AH33" s="93">
        <f>AH32*(1-VLOOKUP(AH$7+$B32-1,'Mortality tables'!$A$5:$E$125,4,FALSE))</f>
        <v>0.92805498543493814</v>
      </c>
      <c r="AI33" s="37">
        <f>IF($B33&gt;Parameters!$B$19,0,AH33*VLOOKUP(AH$7+$B33-1,'Mortality tables'!$A$5:$E$125,4,FALSE)*AI$5*AI$6)</f>
        <v>4573.82619021755</v>
      </c>
      <c r="AJ33" s="93">
        <f>AJ32*(1-VLOOKUP(AJ$7+$B32-1,'Mortality tables'!$A$5:$E$125,4,FALSE))</f>
        <v>0.88810620266804641</v>
      </c>
      <c r="AK33" s="37">
        <f>IF($B33&gt;Parameters!$B$19,0,AJ33*VLOOKUP(AJ$7+$B33-1,'Mortality tables'!$A$5:$E$125,4,FALSE)*AK$5*AK$6)</f>
        <v>8720.3148039975476</v>
      </c>
      <c r="AL33" s="93">
        <f>AL32*(1-VLOOKUP(AL$7+$B32-1,'Mortality tables'!$A$5:$E$125,4,FALSE))</f>
        <v>0.82879165491949436</v>
      </c>
      <c r="AM33" s="37">
        <f>IF($B33&gt;Parameters!$B$19,0,AL33*VLOOKUP(AL$7+$B33-1,'Mortality tables'!$A$5:$E$125,4,FALSE)*AM$5*AM$6)</f>
        <v>614512.54528998863</v>
      </c>
      <c r="AN33" s="93">
        <f>AN32*(1-VLOOKUP(AN$7+$B32-1,'Mortality tables'!$A$5:$E$125,4,FALSE))</f>
        <v>0.74561675975105901</v>
      </c>
      <c r="AO33" s="37">
        <f>IF($B33&gt;Parameters!$B$19,0,AN33*VLOOKUP(AN$7+$B33-1,'Mortality tables'!$A$5:$E$125,4,FALSE)*AO$5*AO$6)</f>
        <v>937079.2137869749</v>
      </c>
      <c r="AP33" s="93">
        <f>AP32*(1-VLOOKUP(AP$7+$B32-1,'Mortality tables'!$A$5:$E$125,4,FALSE))</f>
        <v>0.62058833971528471</v>
      </c>
      <c r="AQ33" s="37">
        <f>IF($B33&gt;Parameters!$B$19,0,AP33*VLOOKUP(AP$7+$B33-1,'Mortality tables'!$A$5:$E$125,4,FALSE)*AQ$5*AQ$6)</f>
        <v>813898.13224189344</v>
      </c>
      <c r="AR33" s="93">
        <f>AR32*(1-VLOOKUP(AR$7+$B32-1,'Mortality tables'!$A$5:$E$125,5,FALSE))</f>
        <v>0.94477504661132705</v>
      </c>
      <c r="AS33" s="41">
        <f>IF($B33&gt;Parameters!$B$19,0,AR33*VLOOKUP(AR$7+$B33-1,'Mortality tables'!$A$5:$E$125,5,FALSE)*AS$5*AS$6)</f>
        <v>4748.0614742498856</v>
      </c>
      <c r="AT33" s="93">
        <f>AT32*(1-VLOOKUP(AT$7+$B32-1,'Mortality tables'!$A$5:$E$125,5,FALSE))</f>
        <v>0.9223257219837907</v>
      </c>
      <c r="AU33" s="54">
        <f>IF($B33&gt;Parameters!$B$19,0,AT33*VLOOKUP(AT$7+$B33-1,'Mortality tables'!$A$5:$E$125,5,FALSE)*AU$5*AU$6)</f>
        <v>25475.558766914281</v>
      </c>
      <c r="AV33" s="93">
        <f>AV32*(1-VLOOKUP(AV$7+$B32-1,'Mortality tables'!$A$5:$E$125,5,FALSE))</f>
        <v>0.89504555974522115</v>
      </c>
      <c r="AW33" s="54">
        <f>IF($B33&gt;Parameters!$B$19,0,AV33*VLOOKUP(AV$7+$B33-1,'Mortality tables'!$A$5:$E$125,5,FALSE)*AW$5*AW$6)</f>
        <v>185784.60683631554</v>
      </c>
      <c r="AX33" s="93">
        <f>AX32*(1-VLOOKUP(AX$7+$B32-1,'Mortality tables'!$A$5:$E$125,5,FALSE))</f>
        <v>0.85986695390407974</v>
      </c>
      <c r="AY33" s="54">
        <f>IF($B33&gt;Parameters!$B$19,0,AX33*VLOOKUP(AX$7+$B33-1,'Mortality tables'!$A$5:$E$125,5,FALSE)*AY$5*AY$6)</f>
        <v>317129.93889683456</v>
      </c>
      <c r="AZ33" s="93">
        <f>AZ32*(1-VLOOKUP(AZ$7+$B32-1,'Mortality tables'!$A$5:$E$125,5,FALSE))</f>
        <v>0.80670440126937382</v>
      </c>
      <c r="BA33" s="54">
        <f>IF($B33&gt;Parameters!$B$19,0,AZ33*VLOOKUP(AZ$7+$B33-1,'Mortality tables'!$A$5:$E$125,5,FALSE)*BA$5*BA$6)</f>
        <v>19602.916950845785</v>
      </c>
      <c r="BB33" s="93">
        <f>BB32*(1-VLOOKUP(BB$7+$B32-1,'Mortality tables'!$A$5:$E$125,5,FALSE))</f>
        <v>0.7256870691403523</v>
      </c>
      <c r="BC33" s="54">
        <f>IF($B33&gt;Parameters!$B$19,0,BB33*VLOOKUP(BB$7+$B33-1,'Mortality tables'!$A$5:$E$125,5,FALSE)*BC$5*BC$6)</f>
        <v>6161.7363353638166</v>
      </c>
      <c r="BD33" s="92">
        <f>AA33*(1+Parameters!$B$54)</f>
        <v>12375.000000000002</v>
      </c>
      <c r="BE33" s="63">
        <f t="shared" si="3"/>
        <v>2964009.8975241072</v>
      </c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5"/>
    </row>
    <row r="34" spans="1:72">
      <c r="A34" s="57">
        <f t="shared" si="0"/>
        <v>2048</v>
      </c>
      <c r="B34" s="30">
        <f>A34-Parameters!$B$18+1</f>
        <v>27</v>
      </c>
      <c r="C34" s="93">
        <f>C33*(1-VLOOKUP(C$7+$B33-1,'Mortality tables'!$A$5:$E$125,2,FALSE))</f>
        <v>0.95550770331979651</v>
      </c>
      <c r="D34" s="37">
        <f>IF($B34&gt;Parameters!$B$19,0,C34*VLOOKUP(C$7+$B34-1,'Mortality tables'!$A$5:$B$125,2,FALSE)*D$5*D$6)</f>
        <v>12965.284026346319</v>
      </c>
      <c r="E34" s="93">
        <f>E33*(1-VLOOKUP(E$7+$B33-1,'Mortality tables'!$A$5:$E$125,2,FALSE))</f>
        <v>0.93326367020634304</v>
      </c>
      <c r="F34" s="37">
        <f>IF($B34&gt;Parameters!$B$19,0,E34*VLOOKUP(E$7+$B34-1,'Mortality tables'!$A$5:$B$125,2,FALSE)*F$5*F$6)</f>
        <v>4234.4039244602191</v>
      </c>
      <c r="G34" s="93">
        <f>G33*(1-VLOOKUP(G$7+$B33-1,'Mortality tables'!$A$5:$E$125,2,FALSE))</f>
        <v>0.89601359011815784</v>
      </c>
      <c r="H34" s="37">
        <f>IF($B34&gt;Parameters!$B$19,0,G34*VLOOKUP(G$7+$B34-1,'Mortality tables'!$A$5:$B$125,2,FALSE)*H$5*H$6)</f>
        <v>7950.5525885159441</v>
      </c>
      <c r="I34" s="93">
        <f>I33*(1-VLOOKUP(I$7+$B33-1,'Mortality tables'!$A$5:$E$125,2,FALSE))</f>
        <v>0.84204948841106586</v>
      </c>
      <c r="J34" s="37">
        <f>IF($B34&gt;Parameters!$B$19,0,I34*VLOOKUP(I$7+$B34-1,'Mortality tables'!$A$5:$B$125,2,FALSE)*J$5*J$6)</f>
        <v>578521.68051793869</v>
      </c>
      <c r="K34" s="93">
        <f>K33*(1-VLOOKUP(K$7+$B33-1,'Mortality tables'!$A$5:$E$125,2,FALSE))</f>
        <v>0.76275562098259964</v>
      </c>
      <c r="L34" s="37">
        <f>IF($B34&gt;Parameters!$B$19,0,K34*VLOOKUP(K$7+$B34-1,'Mortality tables'!$A$5:$B$125,2,FALSE)*L$5*L$6)</f>
        <v>889067.9518173181</v>
      </c>
      <c r="M34" s="93">
        <f>M33*(1-VLOOKUP(M$7+$B33-1,'Mortality tables'!$A$5:$E$125,2,FALSE))</f>
        <v>0.64193627756945137</v>
      </c>
      <c r="N34" s="37">
        <f>IF($B34&gt;Parameters!$B$19,0,M34*VLOOKUP(M$7+$B34-1,'Mortality tables'!$A$5:$B$125,2,FALSE)*N$5*N$6)</f>
        <v>788626.42022940191</v>
      </c>
      <c r="O34" s="93">
        <f>O33*(1-VLOOKUP(O$7+$A34-Parameters!$B$18-1,'Mortality tables'!$A$5:$E$125,3,FALSE))</f>
        <v>0.94977920694075102</v>
      </c>
      <c r="P34" s="41">
        <f>IF($B34&gt;Parameters!$B$19,0,O34*VLOOKUP(O$7+$B34-1,'Mortality tables'!$A$5:$C$125,3,FALSE)*P$5*P$6)</f>
        <v>4232.2161461279857</v>
      </c>
      <c r="Q34" s="93">
        <f>Q33*(1-VLOOKUP(Q$7+$A34-Parameters!$B$18-1,'Mortality tables'!$A$5:$E$125,3,FALSE))</f>
        <v>0.92964376111950731</v>
      </c>
      <c r="R34" s="37">
        <f>IF($B34&gt;Parameters!$B$19,0,Q34*VLOOKUP(Q$7+$B34-1,'Mortality tables'!$A$5:$C$125,3,FALSE)*R$5*R$6)</f>
        <v>22483.318157205144</v>
      </c>
      <c r="S34" s="93">
        <f>S33*(1-VLOOKUP(S$7+$A34-Parameters!$B$18-1,'Mortality tables'!$A$5:$E$125,3,FALSE))</f>
        <v>0.90546858010106235</v>
      </c>
      <c r="T34" s="37">
        <f>IF($B34&gt;Parameters!$B$19,0,S34*VLOOKUP(S$7+'TA projections'!$A34-Parameters!$B$18,'Mortality tables'!$A$5:$C$125,3,FALSE)*T$5*T$6)</f>
        <v>170997.74135208564</v>
      </c>
      <c r="U34" s="93">
        <f>U33*(1-VLOOKUP(U$7+$A34-Parameters!$B$18-1,'Mortality tables'!$A$5:$E$125,3,FALSE))</f>
        <v>0.8723346781714163</v>
      </c>
      <c r="V34" s="37">
        <f>IF($B34&gt;Parameters!$B$19,0,U34*VLOOKUP(U$7+'TA projections'!$A34-Parameters!$B$18,'Mortality tables'!$A$5:$C$125,3,FALSE)*V$5*V$6)</f>
        <v>292645.16765753861</v>
      </c>
      <c r="W34" s="93">
        <f>W33*(1-VLOOKUP(W$7+$A34-Parameters!$B$18-1,'Mortality tables'!$A$5:$E$125,3,FALSE))</f>
        <v>0.82212884412887866</v>
      </c>
      <c r="X34" s="37">
        <f>IF($B34&gt;Parameters!$B$19,0,W34*VLOOKUP(W$7+'TA projections'!$A34-Parameters!$B$18,'Mortality tables'!$A$5:$C$125,3,FALSE)*X$5*X$6)</f>
        <v>18335.117481762252</v>
      </c>
      <c r="Y34" s="93">
        <f>Y33*(1-VLOOKUP(Y$7+$A34-Parameters!$B$18-1,'Mortality tables'!$A$5:$E$125,3,FALSE))</f>
        <v>0.7441396993118945</v>
      </c>
      <c r="Z34" s="37">
        <f>IF($B34&gt;Parameters!$B$19,0,Y34*VLOOKUP(Y$7+'TA projections'!$A34-Parameters!$B$18,'Mortality tables'!$A$5:$C$125,3,FALSE)*Z$5*Z$6)</f>
        <v>5892.0981391515807</v>
      </c>
      <c r="AA34" s="92">
        <f>IF(B34&gt;Parameters!$B$19,0,SUM(Parameters!$C$5:$C$16)*Parameters!$B$46)</f>
        <v>11250</v>
      </c>
      <c r="AB34" s="63">
        <f t="shared" si="1"/>
        <v>2807201.9520378523</v>
      </c>
      <c r="AD34" s="57">
        <f t="shared" si="2"/>
        <v>2048</v>
      </c>
      <c r="AE34" s="30">
        <f>AD34-Parameters!$B$18+1</f>
        <v>27</v>
      </c>
      <c r="AF34" s="93">
        <f>AF33*(1-VLOOKUP(AF$7+$B33-1,'Mortality tables'!$A$5:$E$125,4,FALSE))</f>
        <v>0.94683817798919523</v>
      </c>
      <c r="AG34" s="37">
        <f>IF($B34&gt;Parameters!$B$19,0,AF34*VLOOKUP(AF$7+$B34-1,'Mortality tables'!$A$5:$E$125,4,FALSE)*AG$5*AG$6)</f>
        <v>15417.17668456247</v>
      </c>
      <c r="AH34" s="93">
        <f>AH33*(1-VLOOKUP(AH$7+$B33-1,'Mortality tables'!$A$5:$E$125,4,FALSE))</f>
        <v>0.92043194178457555</v>
      </c>
      <c r="AI34" s="37">
        <f>IF($B34&gt;Parameters!$B$19,0,AH34*VLOOKUP(AH$7+$B34-1,'Mortality tables'!$A$5:$E$125,4,FALSE)*AI$5*AI$6)</f>
        <v>5011.420567517971</v>
      </c>
      <c r="AJ34" s="93">
        <f>AJ33*(1-VLOOKUP(AJ$7+$B33-1,'Mortality tables'!$A$5:$E$125,4,FALSE))</f>
        <v>0.87647911626271635</v>
      </c>
      <c r="AK34" s="37">
        <f>IF($B34&gt;Parameters!$B$19,0,AJ34*VLOOKUP(AJ$7+$B34-1,'Mortality tables'!$A$5:$E$125,4,FALSE)*AK$5*AK$6)</f>
        <v>9332.6619820537762</v>
      </c>
      <c r="AL34" s="93">
        <f>AL33*(1-VLOOKUP(AL$7+$B33-1,'Mortality tables'!$A$5:$E$125,4,FALSE))</f>
        <v>0.81342884128724469</v>
      </c>
      <c r="AM34" s="37">
        <f>IF($B34&gt;Parameters!$B$19,0,AL34*VLOOKUP(AL$7+$B34-1,'Mortality tables'!$A$5:$E$125,4,FALSE)*AM$5*AM$6)</f>
        <v>670629.78134158615</v>
      </c>
      <c r="AN34" s="93">
        <f>AN33*(1-VLOOKUP(AN$7+$B33-1,'Mortality tables'!$A$5:$E$125,4,FALSE))</f>
        <v>0.72218977940638462</v>
      </c>
      <c r="AO34" s="37">
        <f>IF($B34&gt;Parameters!$B$19,0,AN34*VLOOKUP(AN$7+$B34-1,'Mortality tables'!$A$5:$E$125,4,FALSE)*AO$5*AO$6)</f>
        <v>1010141.2882512984</v>
      </c>
      <c r="AP34" s="93">
        <f>AP33*(1-VLOOKUP(AP$7+$B33-1,'Mortality tables'!$A$5:$E$125,4,FALSE))</f>
        <v>0.5866759175385392</v>
      </c>
      <c r="AQ34" s="37">
        <f>IF($B34&gt;Parameters!$B$19,0,AP34*VLOOKUP(AP$7+$B34-1,'Mortality tables'!$A$5:$E$125,4,FALSE)*AQ$5*AQ$6)</f>
        <v>864886.085768527</v>
      </c>
      <c r="AR34" s="93">
        <f>AR33*(1-VLOOKUP(AR$7+$B33-1,'Mortality tables'!$A$5:$E$125,5,FALSE))</f>
        <v>0.94002698513707716</v>
      </c>
      <c r="AS34" s="41">
        <f>IF($B34&gt;Parameters!$B$19,0,AR34*VLOOKUP(AR$7+$B34-1,'Mortality tables'!$A$5:$E$125,5,FALSE)*AS$5*AS$6)</f>
        <v>5026.512294924979</v>
      </c>
      <c r="AT34" s="93">
        <f>AT33*(1-VLOOKUP(AT$7+$B33-1,'Mortality tables'!$A$5:$E$125,5,FALSE))</f>
        <v>0.91614982894938723</v>
      </c>
      <c r="AU34" s="54">
        <f>IF($B34&gt;Parameters!$B$19,0,AT34*VLOOKUP(AT$7+$B34-1,'Mortality tables'!$A$5:$E$125,5,FALSE)*AU$5*AU$6)</f>
        <v>26588.362913294772</v>
      </c>
      <c r="AV34" s="93">
        <f>AV33*(1-VLOOKUP(AV$7+$B33-1,'Mortality tables'!$A$5:$E$125,5,FALSE))</f>
        <v>0.88761417547176846</v>
      </c>
      <c r="AW34" s="54">
        <f>IF($B34&gt;Parameters!$B$19,0,AV34*VLOOKUP(AV$7+$B34-1,'Mortality tables'!$A$5:$E$125,5,FALSE)*AW$5*AW$6)</f>
        <v>201151.12444541213</v>
      </c>
      <c r="AX34" s="93">
        <f>AX33*(1-VLOOKUP(AX$7+$B33-1,'Mortality tables'!$A$5:$E$125,5,FALSE))</f>
        <v>0.84873958762699786</v>
      </c>
      <c r="AY34" s="54">
        <f>IF($B34&gt;Parameters!$B$19,0,AX34*VLOOKUP(AX$7+$B34-1,'Mortality tables'!$A$5:$E$125,5,FALSE)*AY$5*AY$6)</f>
        <v>341675.56805974274</v>
      </c>
      <c r="AZ34" s="93">
        <f>AZ33*(1-VLOOKUP(AZ$7+$B33-1,'Mortality tables'!$A$5:$E$125,5,FALSE))</f>
        <v>0.79036863714366901</v>
      </c>
      <c r="BA34" s="54">
        <f>IF($B34&gt;Parameters!$B$19,0,AZ34*VLOOKUP(AZ$7+$B34-1,'Mortality tables'!$A$5:$E$125,5,FALSE)*BA$5*BA$6)</f>
        <v>21152.161614693727</v>
      </c>
      <c r="BB34" s="93">
        <f>BB33*(1-VLOOKUP(BB$7+$B33-1,'Mortality tables'!$A$5:$E$125,5,FALSE))</f>
        <v>0.70104012379889702</v>
      </c>
      <c r="BC34" s="54">
        <f>IF($B34&gt;Parameters!$B$19,0,BB34*VLOOKUP(BB$7+$B34-1,'Mortality tables'!$A$5:$E$125,5,FALSE)*BC$5*BC$6)</f>
        <v>6661.0028402875987</v>
      </c>
      <c r="BD34" s="92">
        <f>AA34*(1+Parameters!$B$54)</f>
        <v>12375.000000000002</v>
      </c>
      <c r="BE34" s="63">
        <f t="shared" si="3"/>
        <v>3190048.1467639017</v>
      </c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5"/>
    </row>
    <row r="35" spans="1:72">
      <c r="A35" s="57">
        <f t="shared" si="0"/>
        <v>2049</v>
      </c>
      <c r="B35" s="30">
        <f>A35-Parameters!$B$18+1</f>
        <v>28</v>
      </c>
      <c r="C35" s="93">
        <f>C34*(1-VLOOKUP(C$7+$B34-1,'Mortality tables'!$A$5:$E$125,2,FALSE))</f>
        <v>0.95118594197768103</v>
      </c>
      <c r="D35" s="37">
        <f>IF($B35&gt;Parameters!$B$19,0,C35*VLOOKUP(C$7+$B35-1,'Mortality tables'!$A$5:$B$125,2,FALSE)*D$5*D$6)</f>
        <v>14333.420959661675</v>
      </c>
      <c r="E35" s="93">
        <f>E34*(1-VLOOKUP(E$7+$B34-1,'Mortality tables'!$A$5:$E$125,2,FALSE))</f>
        <v>0.92620633033224276</v>
      </c>
      <c r="F35" s="37">
        <f>IF($B35&gt;Parameters!$B$19,0,E35*VLOOKUP(E$7+$B35-1,'Mortality tables'!$A$5:$B$125,2,FALSE)*F$5*F$6)</f>
        <v>4629.7349627987487</v>
      </c>
      <c r="G35" s="93">
        <f>G34*(1-VLOOKUP(G$7+$B34-1,'Mortality tables'!$A$5:$E$125,2,FALSE))</f>
        <v>0.88541285333346986</v>
      </c>
      <c r="H35" s="37">
        <f>IF($B35&gt;Parameters!$B$19,0,G35*VLOOKUP(G$7+$B35-1,'Mortality tables'!$A$5:$B$125,2,FALSE)*H$5*H$6)</f>
        <v>8475.3931853213071</v>
      </c>
      <c r="I35" s="93">
        <f>I34*(1-VLOOKUP(I$7+$B34-1,'Mortality tables'!$A$5:$E$125,2,FALSE))</f>
        <v>0.8275864463981174</v>
      </c>
      <c r="J35" s="37">
        <f>IF($B35&gt;Parameters!$B$19,0,I35*VLOOKUP(I$7+$B35-1,'Mortality tables'!$A$5:$B$125,2,FALSE)*J$5*J$6)</f>
        <v>631746.38972246693</v>
      </c>
      <c r="K35" s="93">
        <f>K34*(1-VLOOKUP(K$7+$B34-1,'Mortality tables'!$A$5:$E$125,2,FALSE))</f>
        <v>0.7405289221871667</v>
      </c>
      <c r="L35" s="37">
        <f>IF($B35&gt;Parameters!$B$19,0,K35*VLOOKUP(K$7+$B35-1,'Mortality tables'!$A$5:$B$125,2,FALSE)*L$5*L$6)</f>
        <v>962124.7968624545</v>
      </c>
      <c r="M35" s="93">
        <f>M34*(1-VLOOKUP(M$7+$B34-1,'Mortality tables'!$A$5:$E$125,2,FALSE))</f>
        <v>0.60907684339322632</v>
      </c>
      <c r="N35" s="37">
        <f>IF($B35&gt;Parameters!$B$19,0,M35*VLOOKUP(M$7+$B35-1,'Mortality tables'!$A$5:$B$125,2,FALSE)*N$5*N$6)</f>
        <v>842791.80974007526</v>
      </c>
      <c r="O35" s="93">
        <f>O34*(1-VLOOKUP(O$7+$A35-Parameters!$B$18-1,'Mortality tables'!$A$5:$E$125,3,FALSE))</f>
        <v>0.94554699079462301</v>
      </c>
      <c r="P35" s="41">
        <f>IF($B35&gt;Parameters!$B$19,0,O35*VLOOKUP(O$7+$B35-1,'Mortality tables'!$A$5:$C$125,3,FALSE)*P$5*P$6)</f>
        <v>4473.3828134493615</v>
      </c>
      <c r="Q35" s="93">
        <f>Q34*(1-VLOOKUP(Q$7+$A35-Parameters!$B$18-1,'Mortality tables'!$A$5:$E$125,3,FALSE))</f>
        <v>0.92419325974806366</v>
      </c>
      <c r="R35" s="37">
        <f>IF($B35&gt;Parameters!$B$19,0,Q35*VLOOKUP(Q$7+$B35-1,'Mortality tables'!$A$5:$C$125,3,FALSE)*R$5*R$6)</f>
        <v>23415.129380662001</v>
      </c>
      <c r="S35" s="93">
        <f>S34*(1-VLOOKUP(S$7+$A35-Parameters!$B$18-1,'Mortality tables'!$A$5:$E$125,3,FALSE))</f>
        <v>0.89862867044697892</v>
      </c>
      <c r="T35" s="37">
        <f>IF($B35&gt;Parameters!$B$19,0,S35*VLOOKUP(S$7+'TA projections'!$A35-Parameters!$B$18,'Mortality tables'!$A$5:$C$125,3,FALSE)*T$5*T$6)</f>
        <v>185521.8890137788</v>
      </c>
      <c r="U35" s="93">
        <f>U34*(1-VLOOKUP(U$7+$A35-Parameters!$B$18-1,'Mortality tables'!$A$5:$E$125,3,FALSE))</f>
        <v>0.8620664266746606</v>
      </c>
      <c r="V35" s="37">
        <f>IF($B35&gt;Parameters!$B$19,0,U35*VLOOKUP(U$7+'TA projections'!$A35-Parameters!$B$18,'Mortality tables'!$A$5:$C$125,3,FALSE)*V$5*V$6)</f>
        <v>315661.13932260714</v>
      </c>
      <c r="W35" s="93">
        <f>W34*(1-VLOOKUP(W$7+$A35-Parameters!$B$18-1,'Mortality tables'!$A$5:$E$125,3,FALSE))</f>
        <v>0.80684957956074344</v>
      </c>
      <c r="X35" s="37">
        <f>IF($B35&gt;Parameters!$B$19,0,W35*VLOOKUP(W$7+'TA projections'!$A35-Parameters!$B$18,'Mortality tables'!$A$5:$C$125,3,FALSE)*X$5*X$6)</f>
        <v>19887.228437013204</v>
      </c>
      <c r="Y35" s="93">
        <f>Y34*(1-VLOOKUP(Y$7+$A35-Parameters!$B$18-1,'Mortality tables'!$A$5:$E$125,3,FALSE))</f>
        <v>0.72057130675528813</v>
      </c>
      <c r="Z35" s="37">
        <f>IF($B35&gt;Parameters!$B$19,0,Y35*VLOOKUP(Y$7+'TA projections'!$A35-Parameters!$B$18,'Mortality tables'!$A$5:$C$125,3,FALSE)*Z$5*Z$6)</f>
        <v>6395.43063310656</v>
      </c>
      <c r="AA35" s="92">
        <f>IF(B35&gt;Parameters!$B$19,0,SUM(Parameters!$C$5:$C$16)*Parameters!$B$46)</f>
        <v>11250</v>
      </c>
      <c r="AB35" s="63">
        <f t="shared" si="1"/>
        <v>3030705.7450333959</v>
      </c>
      <c r="AD35" s="57">
        <f t="shared" si="2"/>
        <v>2049</v>
      </c>
      <c r="AE35" s="30">
        <f>AD35-Parameters!$B$18+1</f>
        <v>28</v>
      </c>
      <c r="AF35" s="93">
        <f>AF34*(1-VLOOKUP(AF$7+$B34-1,'Mortality tables'!$A$5:$E$125,4,FALSE))</f>
        <v>0.94169911909434112</v>
      </c>
      <c r="AG35" s="37">
        <f>IF($B35&gt;Parameters!$B$19,0,AF35*VLOOKUP(AF$7+$B35-1,'Mortality tables'!$A$5:$E$125,4,FALSE)*AG$5*AG$6)</f>
        <v>17028.556830759149</v>
      </c>
      <c r="AH35" s="93">
        <f>AH34*(1-VLOOKUP(AH$7+$B34-1,'Mortality tables'!$A$5:$E$125,4,FALSE))</f>
        <v>0.91207957417204555</v>
      </c>
      <c r="AI35" s="37">
        <f>IF($B35&gt;Parameters!$B$19,0,AH35*VLOOKUP(AH$7+$B35-1,'Mortality tables'!$A$5:$E$125,4,FALSE)*AI$5*AI$6)</f>
        <v>5470.9451513476633</v>
      </c>
      <c r="AJ35" s="93">
        <f>AJ34*(1-VLOOKUP(AJ$7+$B34-1,'Mortality tables'!$A$5:$E$125,4,FALSE))</f>
        <v>0.8640355669533113</v>
      </c>
      <c r="AK35" s="37">
        <f>IF($B35&gt;Parameters!$B$19,0,AJ35*VLOOKUP(AJ$7+$B35-1,'Mortality tables'!$A$5:$E$125,4,FALSE)*AK$5*AK$6)</f>
        <v>9924.9173469226007</v>
      </c>
      <c r="AL35" s="93">
        <f>AL34*(1-VLOOKUP(AL$7+$B34-1,'Mortality tables'!$A$5:$E$125,4,FALSE))</f>
        <v>0.79666309675370495</v>
      </c>
      <c r="AM35" s="37">
        <f>IF($B35&gt;Parameters!$B$19,0,AL35*VLOOKUP(AL$7+$B35-1,'Mortality tables'!$A$5:$E$125,4,FALSE)*AM$5*AM$6)</f>
        <v>729768.88984548987</v>
      </c>
      <c r="AN35" s="93">
        <f>AN34*(1-VLOOKUP(AN$7+$B34-1,'Mortality tables'!$A$5:$E$125,4,FALSE))</f>
        <v>0.69693624720010217</v>
      </c>
      <c r="AO35" s="37">
        <f>IF($B35&gt;Parameters!$B$19,0,AN35*VLOOKUP(AN$7+$B35-1,'Mortality tables'!$A$5:$E$125,4,FALSE)*AO$5*AO$6)</f>
        <v>1086584.939774713</v>
      </c>
      <c r="AP35" s="93">
        <f>AP34*(1-VLOOKUP(AP$7+$B34-1,'Mortality tables'!$A$5:$E$125,4,FALSE))</f>
        <v>0.55063899729818389</v>
      </c>
      <c r="AQ35" s="37">
        <f>IF($B35&gt;Parameters!$B$19,0,AP35*VLOOKUP(AP$7+$B35-1,'Mortality tables'!$A$5:$E$125,4,FALSE)*AQ$5*AQ$6)</f>
        <v>914316.23200973158</v>
      </c>
      <c r="AR35" s="93">
        <f>AR34*(1-VLOOKUP(AR$7+$B34-1,'Mortality tables'!$A$5:$E$125,5,FALSE))</f>
        <v>0.93500047284215215</v>
      </c>
      <c r="AS35" s="41">
        <f>IF($B35&gt;Parameters!$B$19,0,AR35*VLOOKUP(AR$7+$B35-1,'Mortality tables'!$A$5:$E$125,5,FALSE)*AS$5*AS$6)</f>
        <v>5308.1846844194661</v>
      </c>
      <c r="AT35" s="93">
        <f>AT34*(1-VLOOKUP(AT$7+$B34-1,'Mortality tables'!$A$5:$E$125,5,FALSE))</f>
        <v>0.90970416521283093</v>
      </c>
      <c r="AU35" s="54">
        <f>IF($B35&gt;Parameters!$B$19,0,AT35*VLOOKUP(AT$7+$B35-1,'Mortality tables'!$A$5:$E$125,5,FALSE)*AU$5*AU$6)</f>
        <v>27657.644764549175</v>
      </c>
      <c r="AV35" s="93">
        <f>AV34*(1-VLOOKUP(AV$7+$B34-1,'Mortality tables'!$A$5:$E$125,5,FALSE))</f>
        <v>0.87956813049395199</v>
      </c>
      <c r="AW35" s="54">
        <f>IF($B35&gt;Parameters!$B$19,0,AV35*VLOOKUP(AV$7+$B35-1,'Mortality tables'!$A$5:$E$125,5,FALSE)*AW$5*AW$6)</f>
        <v>217904.20864857169</v>
      </c>
      <c r="AX35" s="93">
        <f>AX34*(1-VLOOKUP(AX$7+$B34-1,'Mortality tables'!$A$5:$E$125,5,FALSE))</f>
        <v>0.836750971203849</v>
      </c>
      <c r="AY35" s="54">
        <f>IF($B35&gt;Parameters!$B$19,0,AX35*VLOOKUP(AX$7+$B35-1,'Mortality tables'!$A$5:$E$125,5,FALSE)*AY$5*AY$6)</f>
        <v>367669.71554852516</v>
      </c>
      <c r="AZ35" s="93">
        <f>AZ34*(1-VLOOKUP(AZ$7+$B34-1,'Mortality tables'!$A$5:$E$125,5,FALSE))</f>
        <v>0.77274183579809086</v>
      </c>
      <c r="BA35" s="54">
        <f>IF($B35&gt;Parameters!$B$19,0,AZ35*VLOOKUP(AZ$7+$B35-1,'Mortality tables'!$A$5:$E$125,5,FALSE)*BA$5*BA$6)</f>
        <v>22855.848922501613</v>
      </c>
      <c r="BB35" s="93">
        <f>BB34*(1-VLOOKUP(BB$7+$B34-1,'Mortality tables'!$A$5:$E$125,5,FALSE))</f>
        <v>0.67439611243774666</v>
      </c>
      <c r="BC35" s="54">
        <f>IF($B35&gt;Parameters!$B$19,0,BB35*VLOOKUP(BB$7+$B35-1,'Mortality tables'!$A$5:$E$125,5,FALSE)*BC$5*BC$6)</f>
        <v>7182.7232351294642</v>
      </c>
      <c r="BD35" s="92">
        <f>AA35*(1+Parameters!$B$54)</f>
        <v>12375.000000000002</v>
      </c>
      <c r="BE35" s="63">
        <f t="shared" si="3"/>
        <v>3424047.8067626604</v>
      </c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5"/>
    </row>
    <row r="36" spans="1:72">
      <c r="A36" s="57">
        <f t="shared" si="0"/>
        <v>2050</v>
      </c>
      <c r="B36" s="30">
        <f>A36-Parameters!$B$18+1</f>
        <v>29</v>
      </c>
      <c r="C36" s="93">
        <f>C35*(1-VLOOKUP(C$7+$B35-1,'Mortality tables'!$A$5:$E$125,2,FALSE))</f>
        <v>0.94640813499112708</v>
      </c>
      <c r="D36" s="37">
        <f>IF($B36&gt;Parameters!$B$19,0,C36*VLOOKUP(C$7+$B36-1,'Mortality tables'!$A$5:$B$125,2,FALSE)*D$5*D$6)</f>
        <v>15831.515282131575</v>
      </c>
      <c r="E36" s="93">
        <f>E35*(1-VLOOKUP(E$7+$B35-1,'Mortality tables'!$A$5:$E$125,2,FALSE))</f>
        <v>0.91849010539424492</v>
      </c>
      <c r="F36" s="37">
        <f>IF($B36&gt;Parameters!$B$19,0,E36*VLOOKUP(E$7+$B36-1,'Mortality tables'!$A$5:$B$125,2,FALSE)*F$5*F$6)</f>
        <v>5042.5106786144052</v>
      </c>
      <c r="G36" s="93">
        <f>G35*(1-VLOOKUP(G$7+$B35-1,'Mortality tables'!$A$5:$E$125,2,FALSE))</f>
        <v>0.87411232908637482</v>
      </c>
      <c r="H36" s="37">
        <f>IF($B36&gt;Parameters!$B$19,0,G36*VLOOKUP(G$7+$B36-1,'Mortality tables'!$A$5:$B$125,2,FALSE)*H$5*H$6)</f>
        <v>8974.2927546475385</v>
      </c>
      <c r="I36" s="93">
        <f>I35*(1-VLOOKUP(I$7+$B35-1,'Mortality tables'!$A$5:$E$125,2,FALSE))</f>
        <v>0.81179278665505572</v>
      </c>
      <c r="J36" s="37">
        <f>IF($B36&gt;Parameters!$B$19,0,I36*VLOOKUP(I$7+$B36-1,'Mortality tables'!$A$5:$B$125,2,FALSE)*J$5*J$6)</f>
        <v>688335.33966055489</v>
      </c>
      <c r="K36" s="93">
        <f>K35*(1-VLOOKUP(K$7+$B35-1,'Mortality tables'!$A$5:$E$125,2,FALSE))</f>
        <v>0.71647580226560537</v>
      </c>
      <c r="L36" s="37">
        <f>IF($B36&gt;Parameters!$B$19,0,K36*VLOOKUP(K$7+$B36-1,'Mortality tables'!$A$5:$B$125,2,FALSE)*L$5*L$6)</f>
        <v>1039577.7300553027</v>
      </c>
      <c r="M36" s="93">
        <f>M35*(1-VLOOKUP(M$7+$B35-1,'Mortality tables'!$A$5:$E$125,2,FALSE))</f>
        <v>0.5739605179873899</v>
      </c>
      <c r="N36" s="37">
        <f>IF($B36&gt;Parameters!$B$19,0,M36*VLOOKUP(M$7+$B36-1,'Mortality tables'!$A$5:$B$125,2,FALSE)*N$5*N$6)</f>
        <v>896122.26089163998</v>
      </c>
      <c r="O36" s="93">
        <f>O35*(1-VLOOKUP(O$7+$A36-Parameters!$B$18-1,'Mortality tables'!$A$5:$E$125,3,FALSE))</f>
        <v>0.94107360798117357</v>
      </c>
      <c r="P36" s="41">
        <f>IF($B36&gt;Parameters!$B$19,0,O36*VLOOKUP(O$7+$B36-1,'Mortality tables'!$A$5:$C$125,3,FALSE)*P$5*P$6)</f>
        <v>4716.6609232016417</v>
      </c>
      <c r="Q36" s="93">
        <f>Q35*(1-VLOOKUP(Q$7+$A36-Parameters!$B$18-1,'Mortality tables'!$A$5:$E$125,3,FALSE))</f>
        <v>0.91851686474669103</v>
      </c>
      <c r="R36" s="37">
        <f>IF($B36&gt;Parameters!$B$19,0,Q36*VLOOKUP(Q$7+$B36-1,'Mortality tables'!$A$5:$C$125,3,FALSE)*R$5*R$6)</f>
        <v>24298.100696184687</v>
      </c>
      <c r="S36" s="93">
        <f>S35*(1-VLOOKUP(S$7+$A36-Parameters!$B$18-1,'Mortality tables'!$A$5:$E$125,3,FALSE))</f>
        <v>0.89120779488642776</v>
      </c>
      <c r="T36" s="37">
        <f>IF($B36&gt;Parameters!$B$19,0,S36*VLOOKUP(S$7+'TA projections'!$A36-Parameters!$B$18,'Mortality tables'!$A$5:$C$125,3,FALSE)*T$5*T$6)</f>
        <v>201190.15969561107</v>
      </c>
      <c r="U36" s="93">
        <f>U35*(1-VLOOKUP(U$7+$A36-Parameters!$B$18-1,'Mortality tables'!$A$5:$E$125,3,FALSE))</f>
        <v>0.85099059722474457</v>
      </c>
      <c r="V36" s="37">
        <f>IF($B36&gt;Parameters!$B$19,0,U36*VLOOKUP(U$7+'TA projections'!$A36-Parameters!$B$18,'Mortality tables'!$A$5:$C$125,3,FALSE)*V$5*V$6)</f>
        <v>340491.12434148841</v>
      </c>
      <c r="W36" s="93">
        <f>W35*(1-VLOOKUP(W$7+$A36-Parameters!$B$18-1,'Mortality tables'!$A$5:$E$125,3,FALSE))</f>
        <v>0.7902768891965658</v>
      </c>
      <c r="X36" s="37">
        <f>IF($B36&gt;Parameters!$B$19,0,W36*VLOOKUP(W$7+'TA projections'!$A36-Parameters!$B$18,'Mortality tables'!$A$5:$C$125,3,FALSE)*X$5*X$6)</f>
        <v>21603.957375344355</v>
      </c>
      <c r="Y36" s="93">
        <f>Y35*(1-VLOOKUP(Y$7+$A36-Parameters!$B$18-1,'Mortality tables'!$A$5:$E$125,3,FALSE))</f>
        <v>0.69498958422286183</v>
      </c>
      <c r="Z36" s="37">
        <f>IF($B36&gt;Parameters!$B$19,0,Y36*VLOOKUP(Y$7+'TA projections'!$A36-Parameters!$B$18,'Mortality tables'!$A$5:$C$125,3,FALSE)*Z$5*Z$6)</f>
        <v>6922.7912484439257</v>
      </c>
      <c r="AA36" s="92">
        <f>IF(B36&gt;Parameters!$B$19,0,SUM(Parameters!$C$5:$C$16)*Parameters!$B$46)</f>
        <v>11250</v>
      </c>
      <c r="AB36" s="63">
        <f t="shared" si="1"/>
        <v>3264356.443603165</v>
      </c>
      <c r="AD36" s="57">
        <f t="shared" si="2"/>
        <v>2050</v>
      </c>
      <c r="AE36" s="30">
        <f>AD36-Parameters!$B$18+1</f>
        <v>29</v>
      </c>
      <c r="AF36" s="93">
        <f>AF35*(1-VLOOKUP(AF$7+$B35-1,'Mortality tables'!$A$5:$E$125,4,FALSE))</f>
        <v>0.93602293348408805</v>
      </c>
      <c r="AG36" s="37">
        <f>IF($B36&gt;Parameters!$B$19,0,AF36*VLOOKUP(AF$7+$B36-1,'Mortality tables'!$A$5:$E$125,4,FALSE)*AG$5*AG$6)</f>
        <v>18789.349957586193</v>
      </c>
      <c r="AH36" s="93">
        <f>AH35*(1-VLOOKUP(AH$7+$B35-1,'Mortality tables'!$A$5:$E$125,4,FALSE))</f>
        <v>0.90296133225313269</v>
      </c>
      <c r="AI36" s="37">
        <f>IF($B36&gt;Parameters!$B$19,0,AH36*VLOOKUP(AH$7+$B36-1,'Mortality tables'!$A$5:$E$125,4,FALSE)*AI$5*AI$6)</f>
        <v>5948.7092568836388</v>
      </c>
      <c r="AJ36" s="93">
        <f>AJ35*(1-VLOOKUP(AJ$7+$B35-1,'Mortality tables'!$A$5:$E$125,4,FALSE))</f>
        <v>0.85080234382408115</v>
      </c>
      <c r="AK36" s="37">
        <f>IF($B36&gt;Parameters!$B$19,0,AJ36*VLOOKUP(AJ$7+$B36-1,'Mortality tables'!$A$5:$E$125,4,FALSE)*AK$5*AK$6)</f>
        <v>10481.969956147061</v>
      </c>
      <c r="AL36" s="93">
        <f>AL35*(1-VLOOKUP(AL$7+$B35-1,'Mortality tables'!$A$5:$E$125,4,FALSE))</f>
        <v>0.77841887450756775</v>
      </c>
      <c r="AM36" s="37">
        <f>IF($B36&gt;Parameters!$B$19,0,AL36*VLOOKUP(AL$7+$B36-1,'Mortality tables'!$A$5:$E$125,4,FALSE)*AM$5*AM$6)</f>
        <v>792044.31848694826</v>
      </c>
      <c r="AN36" s="93">
        <f>AN35*(1-VLOOKUP(AN$7+$B35-1,'Mortality tables'!$A$5:$E$125,4,FALSE))</f>
        <v>0.66977162370573429</v>
      </c>
      <c r="AO36" s="37">
        <f>IF($B36&gt;Parameters!$B$19,0,AN36*VLOOKUP(AN$7+$B36-1,'Mortality tables'!$A$5:$E$125,4,FALSE)*AO$5*AO$6)</f>
        <v>1166174.2021584867</v>
      </c>
      <c r="AP36" s="93">
        <f>AP35*(1-VLOOKUP(AP$7+$B35-1,'Mortality tables'!$A$5:$E$125,4,FALSE))</f>
        <v>0.51254248763111177</v>
      </c>
      <c r="AQ36" s="37">
        <f>IF($B36&gt;Parameters!$B$19,0,AP36*VLOOKUP(AP$7+$B36-1,'Mortality tables'!$A$5:$E$125,4,FALSE)*AQ$5*AQ$6)</f>
        <v>960276.64292220504</v>
      </c>
      <c r="AR36" s="93">
        <f>AR35*(1-VLOOKUP(AR$7+$B35-1,'Mortality tables'!$A$5:$E$125,5,FALSE))</f>
        <v>0.92969228815773264</v>
      </c>
      <c r="AS36" s="41">
        <f>IF($B36&gt;Parameters!$B$19,0,AR36*VLOOKUP(AR$7+$B36-1,'Mortality tables'!$A$5:$E$125,5,FALSE)*AS$5*AS$6)</f>
        <v>5591.5412978958666</v>
      </c>
      <c r="AT36" s="93">
        <f>AT35*(1-VLOOKUP(AT$7+$B35-1,'Mortality tables'!$A$5:$E$125,5,FALSE))</f>
        <v>0.90299928163354626</v>
      </c>
      <c r="AU36" s="54">
        <f>IF($B36&gt;Parameters!$B$19,0,AT36*VLOOKUP(AT$7+$B36-1,'Mortality tables'!$A$5:$E$125,5,FALSE)*AU$5*AU$6)</f>
        <v>28665.125245923864</v>
      </c>
      <c r="AV36" s="93">
        <f>AV35*(1-VLOOKUP(AV$7+$B35-1,'Mortality tables'!$A$5:$E$125,5,FALSE))</f>
        <v>0.8708519621480092</v>
      </c>
      <c r="AW36" s="54">
        <f>IF($B36&gt;Parameters!$B$19,0,AV36*VLOOKUP(AV$7+$B36-1,'Mortality tables'!$A$5:$E$125,5,FALSE)*AW$5*AW$6)</f>
        <v>235913.79654589569</v>
      </c>
      <c r="AX36" s="93">
        <f>AX35*(1-VLOOKUP(AX$7+$B35-1,'Mortality tables'!$A$5:$E$125,5,FALSE))</f>
        <v>0.82385027943021649</v>
      </c>
      <c r="AY36" s="54">
        <f>IF($B36&gt;Parameters!$B$19,0,AX36*VLOOKUP(AX$7+$B36-1,'Mortality tables'!$A$5:$E$125,5,FALSE)*AY$5*AY$6)</f>
        <v>395558.36529389163</v>
      </c>
      <c r="AZ36" s="93">
        <f>AZ35*(1-VLOOKUP(AZ$7+$B35-1,'Mortality tables'!$A$5:$E$125,5,FALSE))</f>
        <v>0.75369529502933952</v>
      </c>
      <c r="BA36" s="54">
        <f>IF($B36&gt;Parameters!$B$19,0,AZ36*VLOOKUP(AZ$7+$B36-1,'Mortality tables'!$A$5:$E$125,5,FALSE)*BA$5*BA$6)</f>
        <v>24724.702823131269</v>
      </c>
      <c r="BB36" s="93">
        <f>BB35*(1-VLOOKUP(BB$7+$B35-1,'Mortality tables'!$A$5:$E$125,5,FALSE))</f>
        <v>0.64566521949722877</v>
      </c>
      <c r="BC36" s="54">
        <f>IF($B36&gt;Parameters!$B$19,0,BB36*VLOOKUP(BB$7+$B36-1,'Mortality tables'!$A$5:$E$125,5,FALSE)*BC$5*BC$6)</f>
        <v>7717.7655016942745</v>
      </c>
      <c r="BD36" s="92">
        <f>AA36*(1+Parameters!$B$54)</f>
        <v>12375.000000000002</v>
      </c>
      <c r="BE36" s="63">
        <f t="shared" si="3"/>
        <v>3664261.4894466894</v>
      </c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5"/>
    </row>
    <row r="37" spans="1:72" ht="15" thickBot="1">
      <c r="A37" s="66">
        <f t="shared" si="0"/>
        <v>2051</v>
      </c>
      <c r="B37" s="67">
        <f>A37-Parameters!$B$18+1</f>
        <v>30</v>
      </c>
      <c r="C37" s="94">
        <f>C36*(1-VLOOKUP(C$7+$B36-1,'Mortality tables'!$A$5:$E$125,2,FALSE))</f>
        <v>0.94113096323041656</v>
      </c>
      <c r="D37" s="95">
        <f>IF($B37&gt;Parameters!$B$19,0,C37*VLOOKUP(C$7+$B37-1,'Mortality tables'!$A$5:$B$125,2,FALSE)*D$5*D$6)</f>
        <v>17457.038236960998</v>
      </c>
      <c r="E37" s="94">
        <f>E36*(1-VLOOKUP(E$7+$B36-1,'Mortality tables'!$A$5:$E$125,2,FALSE))</f>
        <v>0.9100859209298876</v>
      </c>
      <c r="F37" s="95">
        <f>IF($B37&gt;Parameters!$B$19,0,E37*VLOOKUP(E$7+$B37-1,'Mortality tables'!$A$5:$B$125,2,FALSE)*F$5*F$6)</f>
        <v>5467.0681442100213</v>
      </c>
      <c r="G37" s="94">
        <f>G36*(1-VLOOKUP(G$7+$B36-1,'Mortality tables'!$A$5:$E$125,2,FALSE))</f>
        <v>0.86214660541351151</v>
      </c>
      <c r="H37" s="95">
        <f>IF($B37&gt;Parameters!$B$19,0,G37*VLOOKUP(G$7+$B37-1,'Mortality tables'!$A$5:$B$125,2,FALSE)*H$5*H$6)</f>
        <v>9434.039229737351</v>
      </c>
      <c r="I37" s="94">
        <f>I36*(1-VLOOKUP(I$7+$B36-1,'Mortality tables'!$A$5:$E$125,2,FALSE))</f>
        <v>0.79458440316354184</v>
      </c>
      <c r="J37" s="95">
        <f>IF($B37&gt;Parameters!$B$19,0,I37*VLOOKUP(I$7+$B37-1,'Mortality tables'!$A$5:$B$125,2,FALSE)*J$5*J$6)</f>
        <v>748530.291156183</v>
      </c>
      <c r="K37" s="94">
        <f>K36*(1-VLOOKUP(K$7+$B36-1,'Mortality tables'!$A$5:$E$125,2,FALSE))</f>
        <v>0.69048635901422273</v>
      </c>
      <c r="L37" s="95">
        <f>IF($B37&gt;Parameters!$B$19,0,K37*VLOOKUP(K$7+$B37-1,'Mortality tables'!$A$5:$B$125,2,FALSE)*L$5*L$6)</f>
        <v>1121294.6081303766</v>
      </c>
      <c r="M37" s="94">
        <f>M36*(1-VLOOKUP(M$7+$B36-1,'Mortality tables'!$A$5:$E$125,2,FALSE))</f>
        <v>0.53662209045023823</v>
      </c>
      <c r="N37" s="95">
        <f>IF($B37&gt;Parameters!$B$19,0,M37*VLOOKUP(M$7+$B37-1,'Mortality tables'!$A$5:$B$125,2,FALSE)*N$5*N$6)</f>
        <v>946781.6725766114</v>
      </c>
      <c r="O37" s="94">
        <f>O36*(1-VLOOKUP(O$7+$A37-Parameters!$B$18-1,'Mortality tables'!$A$5:$E$125,3,FALSE))</f>
        <v>0.9363569470579719</v>
      </c>
      <c r="P37" s="96">
        <f>IF($B37&gt;Parameters!$B$19,0,O37*VLOOKUP(O$7+$B37-1,'Mortality tables'!$A$5:$C$125,3,FALSE)*P$5*P$6)</f>
        <v>4958.010034671961</v>
      </c>
      <c r="Q37" s="94">
        <f>Q36*(1-VLOOKUP(Q$7+$A37-Parameters!$B$18-1,'Mortality tables'!$A$5:$E$125,3,FALSE))</f>
        <v>0.91262641609307049</v>
      </c>
      <c r="R37" s="95">
        <f>IF($B37&gt;Parameters!$B$19,0,Q37*VLOOKUP(Q$7+$B37-1,'Mortality tables'!$A$5:$C$125,3,FALSE)*R$5*R$6)</f>
        <v>25117.304223713487</v>
      </c>
      <c r="S37" s="94">
        <f>S36*(1-VLOOKUP(S$7+$A37-Parameters!$B$18-1,'Mortality tables'!$A$5:$E$125,3,FALSE))</f>
        <v>0.88316018849860334</v>
      </c>
      <c r="T37" s="95">
        <f>IF($B37&gt;Parameters!$B$19,0,S37*VLOOKUP(S$7+'TA projections'!$A37-Parameters!$B$18,'Mortality tables'!$A$5:$C$125,3,FALSE)*T$5*T$6)</f>
        <v>217963.93452145532</v>
      </c>
      <c r="U37" s="94">
        <f>U36*(1-VLOOKUP(U$7+$A37-Parameters!$B$18-1,'Mortality tables'!$A$5:$E$125,3,FALSE))</f>
        <v>0.83904354023030636</v>
      </c>
      <c r="V37" s="95">
        <f>IF($B37&gt;Parameters!$B$19,0,U37*VLOOKUP(U$7+'TA projections'!$A37-Parameters!$B$18,'Mortality tables'!$A$5:$C$125,3,FALSE)*V$5*V$6)</f>
        <v>367562.74032108107</v>
      </c>
      <c r="W37" s="94">
        <f>W36*(1-VLOOKUP(W$7+$A37-Parameters!$B$18-1,'Mortality tables'!$A$5:$E$125,3,FALSE))</f>
        <v>0.77227359138377882</v>
      </c>
      <c r="X37" s="95">
        <f>IF($B37&gt;Parameters!$B$19,0,W37*VLOOKUP(W$7+'TA projections'!$A37-Parameters!$B$18,'Mortality tables'!$A$5:$C$125,3,FALSE)*X$5*X$6)</f>
        <v>23496.269563133195</v>
      </c>
      <c r="Y37" s="94">
        <f>Y36*(1-VLOOKUP(Y$7+$A37-Parameters!$B$18-1,'Mortality tables'!$A$5:$E$125,3,FALSE))</f>
        <v>0.66729841922908617</v>
      </c>
      <c r="Z37" s="95">
        <f>IF($B37&gt;Parameters!$B$19,0,Y37*VLOOKUP(Y$7+'TA projections'!$A37-Parameters!$B$18,'Mortality tables'!$A$5:$C$125,3,FALSE)*Z$5*Z$6)</f>
        <v>7466.7356619638604</v>
      </c>
      <c r="AA37" s="97">
        <f>IF(B37&gt;Parameters!$B$19,0,SUM(Parameters!$C$5:$C$16)*Parameters!$B$46)</f>
        <v>11250</v>
      </c>
      <c r="AB37" s="69">
        <f t="shared" si="1"/>
        <v>3506779.7118000984</v>
      </c>
      <c r="AD37" s="66">
        <f t="shared" si="2"/>
        <v>2051</v>
      </c>
      <c r="AE37" s="67">
        <f>AD37-Parameters!$B$18+1</f>
        <v>30</v>
      </c>
      <c r="AF37" s="94">
        <f>AF36*(1-VLOOKUP(AF$7+$B36-1,'Mortality tables'!$A$5:$E$125,4,FALSE))</f>
        <v>0.92975981683155928</v>
      </c>
      <c r="AG37" s="95">
        <f>IF($B37&gt;Parameters!$B$19,0,AF37*VLOOKUP(AF$7+$B37-1,'Mortality tables'!$A$5:$E$125,4,FALSE)*AG$5*AG$6)</f>
        <v>20695.337810890309</v>
      </c>
      <c r="AH37" s="94">
        <f>AH36*(1-VLOOKUP(AH$7+$B36-1,'Mortality tables'!$A$5:$E$125,4,FALSE))</f>
        <v>0.89304681682499332</v>
      </c>
      <c r="AI37" s="95">
        <f>IF($B37&gt;Parameters!$B$19,0,AH37*VLOOKUP(AH$7+$B37-1,'Mortality tables'!$A$5:$E$125,4,FALSE)*AI$5*AI$6)</f>
        <v>6437.6530056373194</v>
      </c>
      <c r="AJ37" s="94">
        <f>AJ36*(1-VLOOKUP(AJ$7+$B36-1,'Mortality tables'!$A$5:$E$125,4,FALSE))</f>
        <v>0.83682638388255182</v>
      </c>
      <c r="AK37" s="95">
        <f>IF($B37&gt;Parameters!$B$19,0,AJ37*VLOOKUP(AJ$7+$B37-1,'Mortality tables'!$A$5:$E$125,4,FALSE)*AK$5*AK$6)</f>
        <v>10988.367246761787</v>
      </c>
      <c r="AL37" s="94">
        <f>AL36*(1-VLOOKUP(AL$7+$B36-1,'Mortality tables'!$A$5:$E$125,4,FALSE))</f>
        <v>0.75861776654539403</v>
      </c>
      <c r="AM37" s="95">
        <f>IF($B37&gt;Parameters!$B$19,0,AL37*VLOOKUP(AL$7+$B37-1,'Mortality tables'!$A$5:$E$125,4,FALSE)*AM$5*AM$6)</f>
        <v>857577.9369557075</v>
      </c>
      <c r="AN37" s="94">
        <f>AN36*(1-VLOOKUP(AN$7+$B36-1,'Mortality tables'!$A$5:$E$125,4,FALSE))</f>
        <v>0.64061726865177204</v>
      </c>
      <c r="AO37" s="95">
        <f>IF($B37&gt;Parameters!$B$19,0,AN37*VLOOKUP(AN$7+$B37-1,'Mortality tables'!$A$5:$E$125,4,FALSE)*AO$5*AO$6)</f>
        <v>1248373.4338907828</v>
      </c>
      <c r="AP37" s="94">
        <f>AP36*(1-VLOOKUP(AP$7+$B36-1,'Mortality tables'!$A$5:$E$125,4,FALSE))</f>
        <v>0.47253096084268653</v>
      </c>
      <c r="AQ37" s="95">
        <f>IF($B37&gt;Parameters!$B$19,0,AP37*VLOOKUP(AP$7+$B37-1,'Mortality tables'!$A$5:$E$125,4,FALSE)*AQ$5*AQ$6)</f>
        <v>1000444.0623952105</v>
      </c>
      <c r="AR37" s="94">
        <f>AR36*(1-VLOOKUP(AR$7+$B36-1,'Mortality tables'!$A$5:$E$125,5,FALSE))</f>
        <v>0.92410074685983679</v>
      </c>
      <c r="AS37" s="96">
        <f>IF($B37&gt;Parameters!$B$19,0,AR37*VLOOKUP(AR$7+$B37-1,'Mortality tables'!$A$5:$E$125,5,FALSE)*AS$5*AS$6)</f>
        <v>5871.7361455474029</v>
      </c>
      <c r="AT37" s="94">
        <f>AT36*(1-VLOOKUP(AT$7+$B36-1,'Mortality tables'!$A$5:$E$125,5,FALSE))</f>
        <v>0.89605016036180707</v>
      </c>
      <c r="AU37" s="98">
        <f>IF($B37&gt;Parameters!$B$19,0,AT37*VLOOKUP(AT$7+$B37-1,'Mortality tables'!$A$5:$E$125,5,FALSE)*AU$5*AU$6)</f>
        <v>29593.311016173186</v>
      </c>
      <c r="AV37" s="94">
        <f>AV36*(1-VLOOKUP(AV$7+$B36-1,'Mortality tables'!$A$5:$E$125,5,FALSE))</f>
        <v>0.86141541028617341</v>
      </c>
      <c r="AW37" s="98">
        <f>IF($B37&gt;Parameters!$B$19,0,AV37*VLOOKUP(AV$7+$B37-1,'Mortality tables'!$A$5:$E$125,5,FALSE)*AW$5*AW$6)</f>
        <v>255116.78791035313</v>
      </c>
      <c r="AX37" s="94">
        <f>AX36*(1-VLOOKUP(AX$7+$B36-1,'Mortality tables'!$A$5:$E$125,5,FALSE))</f>
        <v>0.80997103854271146</v>
      </c>
      <c r="AY37" s="98">
        <f>IF($B37&gt;Parameters!$B$19,0,AX37*VLOOKUP(AX$7+$B37-1,'Mortality tables'!$A$5:$E$125,5,FALSE)*AY$5*AY$6)</f>
        <v>425792.21730364853</v>
      </c>
      <c r="AZ37" s="94">
        <f>AZ36*(1-VLOOKUP(AZ$7+$B36-1,'Mortality tables'!$A$5:$E$125,5,FALSE))</f>
        <v>0.73309137601006347</v>
      </c>
      <c r="BA37" s="98">
        <f>IF($B37&gt;Parameters!$B$19,0,AZ37*VLOOKUP(AZ$7+$B37-1,'Mortality tables'!$A$5:$E$125,5,FALSE)*BA$5*BA$6)</f>
        <v>26764.990196197177</v>
      </c>
      <c r="BB37" s="94">
        <f>BB36*(1-VLOOKUP(BB$7+$B36-1,'Mortality tables'!$A$5:$E$125,5,FALSE))</f>
        <v>0.61479415749045163</v>
      </c>
      <c r="BC37" s="98">
        <f>IF($B37&gt;Parameters!$B$19,0,BB37*VLOOKUP(BB$7+$B37-1,'Mortality tables'!$A$5:$E$125,5,FALSE)*BC$5*BC$6)</f>
        <v>8255.087070287289</v>
      </c>
      <c r="BD37" s="97">
        <f>AA37*(1+Parameters!$B$54)</f>
        <v>12375.000000000002</v>
      </c>
      <c r="BE37" s="69">
        <f t="shared" si="3"/>
        <v>3908285.9209471969</v>
      </c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5"/>
    </row>
    <row r="38" spans="1:72">
      <c r="D38" s="37"/>
      <c r="E38" s="9"/>
      <c r="F38" s="37"/>
      <c r="G38" s="9"/>
      <c r="H38" s="37"/>
      <c r="I38" s="9"/>
      <c r="J38" s="37"/>
      <c r="K38" s="9"/>
      <c r="L38" s="37"/>
      <c r="M38" s="9"/>
      <c r="N38" s="37"/>
      <c r="O38" s="9"/>
      <c r="P38" s="37"/>
      <c r="Q38" s="40"/>
      <c r="R38" s="37"/>
      <c r="S38" s="9"/>
      <c r="T38" s="37"/>
      <c r="U38" s="9"/>
      <c r="V38" s="37"/>
      <c r="W38" s="9"/>
      <c r="X38" s="37"/>
      <c r="Y38" s="9"/>
      <c r="Z38" s="37"/>
      <c r="AA38" s="40"/>
      <c r="AB38" s="9"/>
      <c r="AG38" s="37"/>
      <c r="AH38" s="9"/>
      <c r="AI38" s="37"/>
      <c r="AJ38" s="9"/>
      <c r="AK38" s="37"/>
      <c r="AL38" s="9"/>
      <c r="AM38" s="37"/>
      <c r="AN38" s="9"/>
      <c r="AO38" s="37"/>
      <c r="AP38" s="9"/>
      <c r="AQ38" s="37"/>
      <c r="AR38" s="9"/>
      <c r="AS38" s="37"/>
      <c r="AT38" s="40"/>
      <c r="AU38" s="37"/>
      <c r="AV38" s="9"/>
      <c r="AW38" s="37"/>
      <c r="AX38" s="9"/>
      <c r="AY38" s="37"/>
      <c r="AZ38" s="9"/>
      <c r="BA38" s="37"/>
      <c r="BB38" s="9"/>
      <c r="BC38" s="37"/>
      <c r="BD38" s="40"/>
      <c r="BE38" s="9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</row>
    <row r="39" spans="1:72">
      <c r="D39" s="37"/>
      <c r="E39" s="9"/>
      <c r="F39" s="37"/>
      <c r="G39" s="9"/>
      <c r="H39" s="37"/>
      <c r="I39" s="9"/>
      <c r="J39" s="37"/>
      <c r="K39" s="9"/>
      <c r="L39" s="37"/>
      <c r="M39" s="9"/>
      <c r="N39" s="37"/>
      <c r="O39" s="9"/>
      <c r="P39" s="37"/>
      <c r="Q39" s="40"/>
      <c r="R39" s="37"/>
      <c r="S39" s="9"/>
      <c r="T39" s="37"/>
      <c r="U39" s="9"/>
      <c r="V39" s="37"/>
      <c r="W39" s="9"/>
      <c r="X39" s="37"/>
      <c r="Y39" s="9"/>
      <c r="Z39" s="37"/>
      <c r="AA39" s="40"/>
      <c r="AB39" s="9"/>
      <c r="AG39" s="37"/>
      <c r="AH39" s="9"/>
      <c r="AI39" s="37"/>
      <c r="AJ39" s="9"/>
      <c r="AK39" s="37"/>
      <c r="AL39" s="9"/>
      <c r="AM39" s="37"/>
      <c r="AN39" s="9"/>
      <c r="AO39" s="37"/>
      <c r="AP39" s="9"/>
      <c r="AQ39" s="37"/>
      <c r="AR39" s="9"/>
      <c r="AS39" s="37"/>
      <c r="AT39" s="40"/>
      <c r="AU39" s="37"/>
      <c r="AV39" s="9"/>
      <c r="AW39" s="37"/>
      <c r="AX39" s="9"/>
      <c r="AY39" s="37"/>
      <c r="AZ39" s="9"/>
      <c r="BA39" s="37"/>
      <c r="BB39" s="9"/>
      <c r="BC39" s="37"/>
      <c r="BD39" s="40"/>
      <c r="BE39" s="9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</row>
    <row r="40" spans="1:72">
      <c r="D40" s="37"/>
      <c r="E40" s="9"/>
      <c r="F40" s="37"/>
      <c r="G40" s="9"/>
      <c r="H40" s="37"/>
      <c r="I40" s="9"/>
      <c r="J40" s="37"/>
      <c r="K40" s="9"/>
      <c r="L40" s="37"/>
      <c r="M40" s="9"/>
      <c r="N40" s="37"/>
      <c r="O40" s="9"/>
      <c r="P40" s="37"/>
      <c r="Q40" s="40"/>
      <c r="R40" s="37"/>
      <c r="S40" s="9"/>
      <c r="T40" s="37"/>
      <c r="U40" s="9"/>
      <c r="V40" s="37"/>
      <c r="W40" s="9"/>
      <c r="X40" s="37"/>
      <c r="Y40" s="9"/>
      <c r="Z40" s="37"/>
      <c r="AA40" s="9"/>
      <c r="AB40" s="9"/>
      <c r="AG40" s="37"/>
      <c r="AH40" s="9"/>
      <c r="AI40" s="37"/>
      <c r="AJ40" s="9"/>
      <c r="AK40" s="37"/>
      <c r="AL40" s="9"/>
      <c r="AM40" s="37"/>
      <c r="AN40" s="9"/>
      <c r="AO40" s="37"/>
      <c r="AP40" s="9"/>
      <c r="AQ40" s="37"/>
      <c r="AR40" s="9"/>
      <c r="AS40" s="37"/>
      <c r="AT40" s="40"/>
      <c r="AU40" s="37"/>
      <c r="AV40" s="9"/>
      <c r="AW40" s="37"/>
      <c r="AX40" s="9"/>
      <c r="AY40" s="37"/>
      <c r="AZ40" s="9"/>
      <c r="BA40" s="37"/>
      <c r="BB40" s="9"/>
      <c r="BC40" s="37"/>
      <c r="BD40" s="9"/>
      <c r="BE40" s="9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</row>
    <row r="41" spans="1:72">
      <c r="D41" s="37"/>
      <c r="E41" s="9"/>
      <c r="F41" s="37"/>
      <c r="G41" s="9"/>
      <c r="H41" s="37"/>
      <c r="I41" s="9"/>
      <c r="J41" s="37"/>
      <c r="K41" s="9"/>
      <c r="L41" s="37"/>
      <c r="M41" s="9"/>
      <c r="N41" s="37"/>
      <c r="O41" s="9"/>
      <c r="P41" s="37"/>
      <c r="Q41" s="40"/>
      <c r="R41" s="37"/>
      <c r="S41" s="9"/>
      <c r="T41" s="37"/>
      <c r="U41" s="9"/>
      <c r="V41" s="37"/>
      <c r="W41" s="9"/>
      <c r="X41" s="37"/>
      <c r="Y41" s="9"/>
      <c r="Z41" s="37"/>
      <c r="AA41" s="9"/>
      <c r="AB41" s="9"/>
      <c r="AG41" s="37"/>
      <c r="AH41" s="9"/>
      <c r="AI41" s="37"/>
      <c r="AJ41" s="9"/>
      <c r="AK41" s="37"/>
      <c r="AL41" s="9"/>
      <c r="AM41" s="37"/>
      <c r="AN41" s="9"/>
      <c r="AO41" s="37"/>
      <c r="AP41" s="9"/>
      <c r="AQ41" s="37"/>
      <c r="AR41" s="9"/>
      <c r="AS41" s="37"/>
      <c r="AT41" s="40"/>
      <c r="AU41" s="37"/>
      <c r="AV41" s="9"/>
      <c r="AW41" s="37"/>
      <c r="AX41" s="9"/>
      <c r="AY41" s="37"/>
      <c r="AZ41" s="9"/>
      <c r="BA41" s="37"/>
      <c r="BB41" s="9"/>
      <c r="BC41" s="37"/>
      <c r="BD41" s="9"/>
      <c r="BE41" s="9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</row>
  </sheetData>
  <mergeCells count="24">
    <mergeCell ref="BB7:BC7"/>
    <mergeCell ref="AF7:AG7"/>
    <mergeCell ref="AH7:AI7"/>
    <mergeCell ref="AJ7:AK7"/>
    <mergeCell ref="AL7:AM7"/>
    <mergeCell ref="AN7:AO7"/>
    <mergeCell ref="AP7:AQ7"/>
    <mergeCell ref="AR7:AS7"/>
    <mergeCell ref="AT7:AU7"/>
    <mergeCell ref="AV7:AW7"/>
    <mergeCell ref="AX7:AY7"/>
    <mergeCell ref="AZ7:BA7"/>
    <mergeCell ref="Y7:Z7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</mergeCells>
  <printOptions gridLines="1"/>
  <pageMargins left="0.7" right="0.7" top="0.75" bottom="0.75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5"/>
  <sheetViews>
    <sheetView workbookViewId="0"/>
  </sheetViews>
  <sheetFormatPr defaultRowHeight="14.5"/>
  <cols>
    <col min="2" max="3" width="8.6328125" style="1"/>
    <col min="6" max="7" width="11.36328125" bestFit="1" customWidth="1"/>
    <col min="8" max="8" width="10.54296875" customWidth="1"/>
    <col min="9" max="9" width="13.54296875" style="1" bestFit="1" customWidth="1"/>
    <col min="11" max="11" width="14.6328125" bestFit="1" customWidth="1"/>
    <col min="14" max="14" width="13.36328125" customWidth="1"/>
    <col min="15" max="15" width="11.36328125" bestFit="1" customWidth="1"/>
    <col min="16" max="16" width="9.54296875" bestFit="1" customWidth="1"/>
    <col min="17" max="17" width="13.6328125" bestFit="1" customWidth="1"/>
  </cols>
  <sheetData>
    <row r="1" spans="1:17" s="1" customFormat="1">
      <c r="A1" s="3" t="s">
        <v>46</v>
      </c>
    </row>
    <row r="2" spans="1:17" s="1" customFormat="1" ht="15" thickBot="1"/>
    <row r="3" spans="1:17">
      <c r="A3" s="55" t="s">
        <v>32</v>
      </c>
      <c r="B3" s="56"/>
      <c r="C3" s="56"/>
      <c r="D3" s="56"/>
      <c r="E3" s="56"/>
      <c r="F3" s="56"/>
      <c r="G3" s="56"/>
      <c r="H3" s="56"/>
      <c r="I3" s="20" t="s">
        <v>42</v>
      </c>
      <c r="K3" s="55" t="s">
        <v>47</v>
      </c>
      <c r="L3" s="56"/>
      <c r="M3" s="56"/>
      <c r="N3" s="56"/>
      <c r="O3" s="56"/>
      <c r="P3" s="56"/>
      <c r="Q3" s="20" t="s">
        <v>42</v>
      </c>
    </row>
    <row r="4" spans="1:17" ht="15" thickBot="1">
      <c r="A4" s="57" t="s">
        <v>11</v>
      </c>
      <c r="B4" s="30"/>
      <c r="C4" s="30"/>
      <c r="D4" s="30">
        <f>Parameters!B24</f>
        <v>55</v>
      </c>
      <c r="E4" s="30">
        <f>Parameters!B25</f>
        <v>60</v>
      </c>
      <c r="F4" s="30"/>
      <c r="G4" s="30"/>
      <c r="H4" s="30"/>
      <c r="I4" s="21">
        <f>NPV(Parameters!$B$41,'Annuity projections'!I6:I71)</f>
        <v>21723517.359075863</v>
      </c>
      <c r="J4" s="47"/>
      <c r="K4" s="57" t="s">
        <v>11</v>
      </c>
      <c r="L4" s="30">
        <f>D4</f>
        <v>55</v>
      </c>
      <c r="M4" s="30">
        <f>E4</f>
        <v>60</v>
      </c>
      <c r="N4" s="30"/>
      <c r="O4" s="30"/>
      <c r="P4" s="30"/>
      <c r="Q4" s="21">
        <f>NPV(Parameters!$B$41,'Annuity projections'!Q6:Q71)</f>
        <v>22618897.821986884</v>
      </c>
    </row>
    <row r="5" spans="1:17" ht="43.5">
      <c r="A5" s="57" t="s">
        <v>48</v>
      </c>
      <c r="B5" s="30" t="s">
        <v>49</v>
      </c>
      <c r="C5" s="30" t="s">
        <v>50</v>
      </c>
      <c r="D5" s="58" t="s">
        <v>51</v>
      </c>
      <c r="E5" s="58" t="s">
        <v>52</v>
      </c>
      <c r="F5" s="58" t="s">
        <v>53</v>
      </c>
      <c r="G5" s="58" t="s">
        <v>54</v>
      </c>
      <c r="H5" s="58" t="s">
        <v>45</v>
      </c>
      <c r="I5" s="59" t="s">
        <v>65</v>
      </c>
      <c r="K5" s="57" t="s">
        <v>48</v>
      </c>
      <c r="L5" s="70" t="s">
        <v>51</v>
      </c>
      <c r="M5" s="70" t="s">
        <v>52</v>
      </c>
      <c r="N5" s="70" t="s">
        <v>53</v>
      </c>
      <c r="O5" s="70" t="s">
        <v>54</v>
      </c>
      <c r="P5" s="58" t="s">
        <v>45</v>
      </c>
      <c r="Q5" s="71" t="s">
        <v>65</v>
      </c>
    </row>
    <row r="6" spans="1:17">
      <c r="A6" s="60">
        <v>2022</v>
      </c>
      <c r="B6" s="30">
        <f>$D$4+$A6-Parameters!$B$18</f>
        <v>55</v>
      </c>
      <c r="C6" s="30">
        <f>$E$4+$A6-Parameters!$B$18</f>
        <v>60</v>
      </c>
      <c r="D6" s="61">
        <v>1</v>
      </c>
      <c r="E6" s="61">
        <v>1</v>
      </c>
      <c r="F6" s="62">
        <f>IF(D$4+$A6-Parameters!$B$18&lt;Parameters!$C$24,0,Parameters!$D$24*Parameters!$B$27*'Annuity projections'!D6)</f>
        <v>0</v>
      </c>
      <c r="G6" s="62">
        <f>IF(E$4+$A6-Parameters!$B$18&lt;Parameters!$C$25,0,Parameters!$D$25*Parameters!$B$27*'Annuity projections'!E6)</f>
        <v>0</v>
      </c>
      <c r="H6" s="62">
        <f>Parameters!$D$24*'Annuity projections'!D6*Parameters!$B$46+Parameters!$B$46*Parameters!$D$25*'Annuity projections'!E6</f>
        <v>15000</v>
      </c>
      <c r="I6" s="63">
        <f>SUM(F6:H6)</f>
        <v>15000</v>
      </c>
      <c r="K6" s="60">
        <v>2022</v>
      </c>
      <c r="L6" s="61">
        <v>1</v>
      </c>
      <c r="M6" s="61">
        <v>1</v>
      </c>
      <c r="N6" s="62">
        <f>IF(L$4+$A6-Parameters!$B$18&lt;Parameters!$C$24,0,Parameters!$D$24*Parameters!$B$27*'Annuity projections'!L6)</f>
        <v>0</v>
      </c>
      <c r="O6" s="62">
        <f>IF(M$4+$A6-Parameters!$B$18&lt;Parameters!$C$25,0,Parameters!$D$25*Parameters!$B$27*'Annuity projections'!M6)</f>
        <v>0</v>
      </c>
      <c r="P6" s="62">
        <f>L6*Parameters!$B$46*(1+Parameters!$B$54)*Parameters!$D$24+Parameters!$B$46*(1+Parameters!$B$54)*Parameters!$D$25*'Annuity projections'!M6</f>
        <v>16500</v>
      </c>
      <c r="Q6" s="72">
        <f>SUM(N6:P6)</f>
        <v>16500</v>
      </c>
    </row>
    <row r="7" spans="1:17">
      <c r="A7" s="64">
        <f t="shared" ref="A7:A38" si="0">A6+1</f>
        <v>2023</v>
      </c>
      <c r="B7" s="30">
        <f>$D$4+$A7-Parameters!$B$18</f>
        <v>56</v>
      </c>
      <c r="C7" s="30">
        <f>$E$4+$A7-Parameters!$B$18</f>
        <v>61</v>
      </c>
      <c r="D7" s="65">
        <f>IF(B7&gt;Parameters!$B$28,0,D6*(1-VLOOKUP($B7-1,'Mortality tables'!$A$5:$E$125,2,FALSE)))</f>
        <v>0.99592800000000004</v>
      </c>
      <c r="E7" s="65">
        <f>IF(C7&gt;Parameters!$B$28,0,E6*(1-VLOOKUP($C7-1,'Mortality tables'!$A$5:$E$125,3,FALSE)))</f>
        <v>0.99441999999999997</v>
      </c>
      <c r="F7" s="62">
        <f>IF(D$4+$A7-Parameters!$B$18&lt;Parameters!$C$24,0,Parameters!$D$24*Parameters!$B$27*'Annuity projections'!D7)</f>
        <v>0</v>
      </c>
      <c r="G7" s="62">
        <f>IF(E$4+$A7-Parameters!$B$18&lt;Parameters!$C$25,0,Parameters!$D$25*Parameters!$B$27*'Annuity projections'!E7)</f>
        <v>0</v>
      </c>
      <c r="H7" s="62">
        <f>Parameters!$D$24*'Annuity projections'!D7*Parameters!$B$46+Parameters!$B$46*Parameters!$D$25*'Annuity projections'!E7</f>
        <v>14931.380000000001</v>
      </c>
      <c r="I7" s="63">
        <f t="shared" ref="I7:I37" si="1">SUM(F7:H7)</f>
        <v>14931.380000000001</v>
      </c>
      <c r="K7" s="64">
        <f t="shared" ref="K7:K38" si="2">K6+1</f>
        <v>2023</v>
      </c>
      <c r="L7" s="65">
        <f>IF(B7&gt;Parameters!$B$28,0,L6*(1-VLOOKUP($B7-1,'Mortality tables'!$A$5:$G$125,6,FALSE)))</f>
        <v>0.99653879999999995</v>
      </c>
      <c r="M7" s="65">
        <f>IF(C7&gt;Parameters!$B$28,0,M6*(1-VLOOKUP($C7-1,'Mortality tables'!$A$5:$G$125,7,FALSE)))</f>
        <v>0.99525699999999995</v>
      </c>
      <c r="N7" s="62">
        <f>IF(L$4+$A7-Parameters!$B$18&lt;Parameters!$C$24,0,Parameters!$D$24*Parameters!$B$27*'Annuity projections'!L7)</f>
        <v>0</v>
      </c>
      <c r="O7" s="62">
        <f>IF(M$4+$A7-Parameters!$B$18&lt;Parameters!$C$25,0,Parameters!$D$25*Parameters!$B$27*'Annuity projections'!M7)</f>
        <v>0</v>
      </c>
      <c r="P7" s="62">
        <f>L7*Parameters!$B$46*(1+Parameters!$B$54)*Parameters!$D$24+Parameters!$B$46*(1+Parameters!$B$54)*Parameters!$D$25*'Annuity projections'!M7</f>
        <v>16435.8403</v>
      </c>
      <c r="Q7" s="72">
        <f t="shared" ref="Q7:Q70" si="3">SUM(N7:P7)</f>
        <v>16435.8403</v>
      </c>
    </row>
    <row r="8" spans="1:17">
      <c r="A8" s="57">
        <f t="shared" si="0"/>
        <v>2024</v>
      </c>
      <c r="B8" s="30">
        <f>$D$4+$A8-Parameters!$B$18</f>
        <v>57</v>
      </c>
      <c r="C8" s="30">
        <f>$E$4+$A8-Parameters!$B$18</f>
        <v>62</v>
      </c>
      <c r="D8" s="65">
        <f>IF(B8&gt;Parameters!$B$28,0,D7*(1-VLOOKUP($B8-1,'Mortality tables'!$A$5:$E$125,2,FALSE)))</f>
        <v>0.99142341765599995</v>
      </c>
      <c r="E8" s="65">
        <f>IF(C8&gt;Parameters!$B$28,0,E7*(1-VLOOKUP($C8-1,'Mortality tables'!$A$5:$E$125,3,FALSE)))</f>
        <v>0.98858971553999997</v>
      </c>
      <c r="F8" s="62">
        <f>IF(D$4+$A8-Parameters!$B$18&lt;Parameters!$C$24,0,Parameters!$D$24*Parameters!$B$27*'Annuity projections'!D8)</f>
        <v>0</v>
      </c>
      <c r="G8" s="62">
        <f>IF(E$4+$A8-Parameters!$B$18&lt;Parameters!$C$25,0,Parameters!$D$25*Parameters!$B$27*'Annuity projections'!E8)</f>
        <v>0</v>
      </c>
      <c r="H8" s="62">
        <f>Parameters!$D$24*'Annuity projections'!D8*Parameters!$B$46+Parameters!$B$46*Parameters!$D$25*'Annuity projections'!E8</f>
        <v>14857.18275426</v>
      </c>
      <c r="I8" s="63">
        <f t="shared" si="1"/>
        <v>14857.18275426</v>
      </c>
      <c r="K8" s="57">
        <f t="shared" si="2"/>
        <v>2024</v>
      </c>
      <c r="L8" s="65">
        <f>IF(B8&gt;Parameters!$B$28,0,L7*(1-VLOOKUP($B8-1,'Mortality tables'!$A$5:$G$125,6,FALSE)))</f>
        <v>0.99270755675646005</v>
      </c>
      <c r="M8" s="65">
        <f>IF(C8&gt;Parameters!$B$28,0,M7*(1-VLOOKUP($C8-1,'Mortality tables'!$A$5:$G$125,7,FALSE)))</f>
        <v>0.99029708697764995</v>
      </c>
      <c r="N8" s="62">
        <f>IF(L$4+$A8-Parameters!$B$18&lt;Parameters!$C$24,0,Parameters!$D$24*Parameters!$B$27*'Annuity projections'!L8)</f>
        <v>0</v>
      </c>
      <c r="O8" s="62">
        <f>IF(M$4+$A8-Parameters!$B$18&lt;Parameters!$C$25,0,Parameters!$D$25*Parameters!$B$27*'Annuity projections'!M8)</f>
        <v>0</v>
      </c>
      <c r="P8" s="62">
        <f>L8*Parameters!$B$46*(1+Parameters!$B$54)*Parameters!$D$24+Parameters!$B$46*(1+Parameters!$B$54)*Parameters!$D$25*'Annuity projections'!M8</f>
        <v>16366.417102698135</v>
      </c>
      <c r="Q8" s="72">
        <f t="shared" si="3"/>
        <v>16366.417102698135</v>
      </c>
    </row>
    <row r="9" spans="1:17">
      <c r="A9" s="57">
        <f t="shared" si="0"/>
        <v>2025</v>
      </c>
      <c r="B9" s="30">
        <f>$D$4+$A9-Parameters!$B$18</f>
        <v>58</v>
      </c>
      <c r="C9" s="30">
        <f>$E$4+$A9-Parameters!$B$18</f>
        <v>63</v>
      </c>
      <c r="D9" s="65">
        <f>IF(B9&gt;Parameters!$B$28,0,D8*(1-VLOOKUP($B9-1,'Mortality tables'!$A$5:$E$125,2,FALSE)))</f>
        <v>0.98644349782911389</v>
      </c>
      <c r="E9" s="65">
        <f>IF(C9&gt;Parameters!$B$28,0,E8*(1-VLOOKUP($C9-1,'Mortality tables'!$A$5:$E$125,3,FALSE)))</f>
        <v>0.98251779750715329</v>
      </c>
      <c r="F9" s="62">
        <f>IF(D$4+$A9-Parameters!$B$18&lt;Parameters!$C$24,0,Parameters!$D$24*Parameters!$B$27*'Annuity projections'!D9)</f>
        <v>0</v>
      </c>
      <c r="G9" s="62">
        <f>IF(E$4+$A9-Parameters!$B$18&lt;Parameters!$C$25,0,Parameters!$D$25*Parameters!$B$27*'Annuity projections'!E9)</f>
        <v>491258.89875357662</v>
      </c>
      <c r="H9" s="62">
        <f>Parameters!$D$24*'Annuity projections'!D9*Parameters!$B$46+Parameters!$B$46*Parameters!$D$25*'Annuity projections'!E9</f>
        <v>14777.023965826906</v>
      </c>
      <c r="I9" s="63">
        <f t="shared" si="1"/>
        <v>506035.92271940352</v>
      </c>
      <c r="K9" s="57">
        <f t="shared" si="2"/>
        <v>2025</v>
      </c>
      <c r="L9" s="65">
        <f>IF(B9&gt;Parameters!$B$28,0,L8*(1-VLOOKUP($B9-1,'Mortality tables'!$A$5:$G$125,6,FALSE)))</f>
        <v>0.98846914220751059</v>
      </c>
      <c r="M9" s="65">
        <f>IF(C9&gt;Parameters!$B$28,0,M8*(1-VLOOKUP($C9-1,'Mortality tables'!$A$5:$G$125,7,FALSE)))</f>
        <v>0.98512704297566578</v>
      </c>
      <c r="N9" s="62">
        <f>IF(L$4+$A9-Parameters!$B$18&lt;Parameters!$C$24,0,Parameters!$D$24*Parameters!$B$27*'Annuity projections'!L9)</f>
        <v>0</v>
      </c>
      <c r="O9" s="62">
        <f>IF(M$4+$A9-Parameters!$B$18&lt;Parameters!$C$25,0,Parameters!$D$25*Parameters!$B$27*'Annuity projections'!M9)</f>
        <v>492563.52148783288</v>
      </c>
      <c r="P9" s="62">
        <f>L9*Parameters!$B$46*(1+Parameters!$B$54)*Parameters!$D$24+Parameters!$B$46*(1+Parameters!$B$54)*Parameters!$D$25*'Annuity projections'!M9</f>
        <v>16291.359300648779</v>
      </c>
      <c r="Q9" s="72">
        <f t="shared" si="3"/>
        <v>508854.88078848168</v>
      </c>
    </row>
    <row r="10" spans="1:17">
      <c r="A10" s="57">
        <f t="shared" si="0"/>
        <v>2026</v>
      </c>
      <c r="B10" s="30">
        <f>$D$4+$A10-Parameters!$B$18</f>
        <v>59</v>
      </c>
      <c r="C10" s="30">
        <f>$E$4+$A10-Parameters!$B$18</f>
        <v>64</v>
      </c>
      <c r="D10" s="65">
        <f>IF(B10&gt;Parameters!$B$28,0,D9*(1-VLOOKUP($B10-1,'Mortality tables'!$A$5:$E$125,2,FALSE)))</f>
        <v>0.98094308888521875</v>
      </c>
      <c r="E10" s="65">
        <f>IF(C10&gt;Parameters!$B$28,0,E9*(1-VLOOKUP($C10-1,'Mortality tables'!$A$5:$E$125,3,FALSE)))</f>
        <v>0.9762169108717399</v>
      </c>
      <c r="F10" s="62">
        <f>IF(D$4+$A10-Parameters!$B$18&lt;Parameters!$C$24,0,Parameters!$D$24*Parameters!$B$27*'Annuity projections'!D10)</f>
        <v>0</v>
      </c>
      <c r="G10" s="62">
        <f>IF(E$4+$A10-Parameters!$B$18&lt;Parameters!$C$25,0,Parameters!$D$25*Parameters!$B$27*'Annuity projections'!E10)</f>
        <v>488108.45543586992</v>
      </c>
      <c r="H10" s="62">
        <f>Parameters!$D$24*'Annuity projections'!D10*Parameters!$B$46+Parameters!$B$46*Parameters!$D$25*'Annuity projections'!E10</f>
        <v>14690.515443210887</v>
      </c>
      <c r="I10" s="63">
        <f t="shared" si="1"/>
        <v>502798.97087908082</v>
      </c>
      <c r="K10" s="57">
        <f t="shared" si="2"/>
        <v>2026</v>
      </c>
      <c r="L10" s="65">
        <f>IF(B10&gt;Parameters!$B$28,0,L9*(1-VLOOKUP($B10-1,'Mortality tables'!$A$5:$G$125,6,FALSE)))</f>
        <v>0.98378419386110394</v>
      </c>
      <c r="M10" s="65">
        <f>IF(C10&gt;Parameters!$B$28,0,M9*(1-VLOOKUP($C10-1,'Mortality tables'!$A$5:$G$125,7,FALSE)))</f>
        <v>0.97975706620805325</v>
      </c>
      <c r="N10" s="62">
        <f>IF(L$4+$A10-Parameters!$B$18&lt;Parameters!$C$24,0,Parameters!$D$24*Parameters!$B$27*'Annuity projections'!L10)</f>
        <v>0</v>
      </c>
      <c r="O10" s="62">
        <f>IF(M$4+$A10-Parameters!$B$18&lt;Parameters!$C$25,0,Parameters!$D$25*Parameters!$B$27*'Annuity projections'!M10)</f>
        <v>489878.53310402663</v>
      </c>
      <c r="P10" s="62">
        <f>L10*Parameters!$B$46*(1+Parameters!$B$54)*Parameters!$D$24+Parameters!$B$46*(1+Parameters!$B$54)*Parameters!$D$25*'Annuity projections'!M10</f>
        <v>16210.289996616437</v>
      </c>
      <c r="Q10" s="72">
        <f t="shared" si="3"/>
        <v>506088.82310064306</v>
      </c>
    </row>
    <row r="11" spans="1:17">
      <c r="A11" s="57">
        <f t="shared" si="0"/>
        <v>2027</v>
      </c>
      <c r="B11" s="30">
        <f>$D$4+$A11-Parameters!$B$18</f>
        <v>60</v>
      </c>
      <c r="C11" s="30">
        <f>$E$4+$A11-Parameters!$B$18</f>
        <v>65</v>
      </c>
      <c r="D11" s="65">
        <f>IF(B11&gt;Parameters!$B$28,0,D10*(1-VLOOKUP($B11-1,'Mortality tables'!$A$5:$E$125,2,FALSE)))</f>
        <v>0.97487791776664134</v>
      </c>
      <c r="E11" s="65">
        <f>IF(C11&gt;Parameters!$B$28,0,E10*(1-VLOOKUP($C11-1,'Mortality tables'!$A$5:$E$125,3,FALSE)))</f>
        <v>0.96970359164240361</v>
      </c>
      <c r="F11" s="62">
        <f>IF(D$4+$A11-Parameters!$B$18&lt;Parameters!$C$24,0,Parameters!$D$24*Parameters!$B$27*'Annuity projections'!D11)</f>
        <v>974877.91776664136</v>
      </c>
      <c r="G11" s="62">
        <f>IF(E$4+$A11-Parameters!$B$18&lt;Parameters!$C$25,0,Parameters!$D$25*Parameters!$B$27*'Annuity projections'!E11)</f>
        <v>484851.79582120181</v>
      </c>
      <c r="H11" s="62">
        <f>Parameters!$D$24*'Annuity projections'!D11*Parameters!$B$46+Parameters!$B$46*Parameters!$D$25*'Annuity projections'!E11</f>
        <v>14597.297135878431</v>
      </c>
      <c r="I11" s="63">
        <f t="shared" si="1"/>
        <v>1474327.0107237215</v>
      </c>
      <c r="K11" s="57">
        <f t="shared" si="2"/>
        <v>2027</v>
      </c>
      <c r="L11" s="65">
        <f>IF(B11&gt;Parameters!$B$28,0,L10*(1-VLOOKUP($B11-1,'Mortality tables'!$A$5:$G$125,6,FALSE)))</f>
        <v>0.97861386684105722</v>
      </c>
      <c r="M11" s="65">
        <f>IF(C11&gt;Parameters!$B$28,0,M10*(1-VLOOKUP($C11-1,'Mortality tables'!$A$5:$G$125,7,FALSE)))</f>
        <v>0.97420066793417415</v>
      </c>
      <c r="N11" s="62">
        <f>IF(L$4+$A11-Parameters!$B$18&lt;Parameters!$C$24,0,Parameters!$D$24*Parameters!$B$27*'Annuity projections'!L11)</f>
        <v>978613.8668410572</v>
      </c>
      <c r="O11" s="62">
        <f>IF(M$4+$A11-Parameters!$B$18&lt;Parameters!$C$25,0,Parameters!$D$25*Parameters!$B$27*'Annuity projections'!M11)</f>
        <v>487100.33396708709</v>
      </c>
      <c r="P11" s="62">
        <f>L11*Parameters!$B$46*(1+Parameters!$B$54)*Parameters!$D$24+Parameters!$B$46*(1+Parameters!$B$54)*Parameters!$D$25*'Annuity projections'!M11</f>
        <v>16122.856208889589</v>
      </c>
      <c r="Q11" s="72">
        <f t="shared" si="3"/>
        <v>1481837.0570170337</v>
      </c>
    </row>
    <row r="12" spans="1:17">
      <c r="A12" s="57">
        <f t="shared" si="0"/>
        <v>2028</v>
      </c>
      <c r="B12" s="30">
        <f>$D$4+$A12-Parameters!$B$18</f>
        <v>61</v>
      </c>
      <c r="C12" s="30">
        <f>$E$4+$A12-Parameters!$B$18</f>
        <v>66</v>
      </c>
      <c r="D12" s="65">
        <f>IF(B12&gt;Parameters!$B$28,0,D11*(1-VLOOKUP($B12-1,'Mortality tables'!$A$5:$E$125,2,FALSE)))</f>
        <v>0.96820487841952874</v>
      </c>
      <c r="E12" s="65">
        <f>IF(C12&gt;Parameters!$B$28,0,E11*(1-VLOOKUP($C12-1,'Mortality tables'!$A$5:$E$125,3,FALSE)))</f>
        <v>0.96299421249182982</v>
      </c>
      <c r="F12" s="62">
        <f>IF(D$4+$A12-Parameters!$B$18&lt;Parameters!$C$24,0,Parameters!$D$24*Parameters!$B$27*'Annuity projections'!D12)</f>
        <v>968204.87841952872</v>
      </c>
      <c r="G12" s="62">
        <f>IF(E$4+$A12-Parameters!$B$18&lt;Parameters!$C$25,0,Parameters!$D$25*Parameters!$B$27*'Annuity projections'!E12)</f>
        <v>481497.10624591488</v>
      </c>
      <c r="H12" s="62">
        <f>Parameters!$D$24*'Annuity projections'!D12*Parameters!$B$46+Parameters!$B$46*Parameters!$D$25*'Annuity projections'!E12</f>
        <v>14497.019846654435</v>
      </c>
      <c r="I12" s="63">
        <f t="shared" si="1"/>
        <v>1464199.0045120982</v>
      </c>
      <c r="K12" s="57">
        <f t="shared" si="2"/>
        <v>2028</v>
      </c>
      <c r="L12" s="65">
        <f>IF(B12&gt;Parameters!$B$28,0,L11*(1-VLOOKUP($B12-1,'Mortality tables'!$A$5:$G$125,6,FALSE)))</f>
        <v>0.97292004671030918</v>
      </c>
      <c r="M12" s="65">
        <f>IF(C12&gt;Parameters!$B$28,0,M11*(1-VLOOKUP($C12-1,'Mortality tables'!$A$5:$G$125,7,FALSE)))</f>
        <v>0.96847124767595305</v>
      </c>
      <c r="N12" s="62">
        <f>IF(L$4+$A12-Parameters!$B$18&lt;Parameters!$C$24,0,Parameters!$D$24*Parameters!$B$27*'Annuity projections'!L12)</f>
        <v>972920.04671030922</v>
      </c>
      <c r="O12" s="62">
        <f>IF(M$4+$A12-Parameters!$B$18&lt;Parameters!$C$25,0,Parameters!$D$25*Parameters!$B$27*'Annuity projections'!M12)</f>
        <v>484235.62383797654</v>
      </c>
      <c r="P12" s="62">
        <f>L12*Parameters!$B$46*(1+Parameters!$B$54)*Parameters!$D$24+Parameters!$B$46*(1+Parameters!$B$54)*Parameters!$D$25*'Annuity projections'!M12</f>
        <v>16028.712376031142</v>
      </c>
      <c r="Q12" s="72">
        <f t="shared" si="3"/>
        <v>1473184.3829243169</v>
      </c>
    </row>
    <row r="13" spans="1:17">
      <c r="A13" s="57">
        <f t="shared" si="0"/>
        <v>2029</v>
      </c>
      <c r="B13" s="30">
        <f>$D$4+$A13-Parameters!$B$18</f>
        <v>62</v>
      </c>
      <c r="C13" s="30">
        <f>$E$4+$A13-Parameters!$B$18</f>
        <v>67</v>
      </c>
      <c r="D13" s="65">
        <f>IF(B13&gt;Parameters!$B$28,0,D12*(1-VLOOKUP($B13-1,'Mortality tables'!$A$5:$E$125,2,FALSE)))</f>
        <v>0.96088331312892028</v>
      </c>
      <c r="E13" s="65">
        <f>IF(C13&gt;Parameters!$B$28,0,E12*(1-VLOOKUP($C13-1,'Mortality tables'!$A$5:$E$125,3,FALSE)))</f>
        <v>0.95571975421066657</v>
      </c>
      <c r="F13" s="62">
        <f>IF(D$4+$A13-Parameters!$B$18&lt;Parameters!$C$24,0,Parameters!$D$24*Parameters!$B$27*'Annuity projections'!D13)</f>
        <v>960883.31312892027</v>
      </c>
      <c r="G13" s="62">
        <f>IF(E$4+$A13-Parameters!$B$18&lt;Parameters!$C$25,0,Parameters!$D$25*Parameters!$B$27*'Annuity projections'!E13)</f>
        <v>477859.87710533326</v>
      </c>
      <c r="H13" s="62">
        <f>Parameters!$D$24*'Annuity projections'!D13*Parameters!$B$46+Parameters!$B$46*Parameters!$D$25*'Annuity projections'!E13</f>
        <v>14387.431902342534</v>
      </c>
      <c r="I13" s="63">
        <f t="shared" si="1"/>
        <v>1453130.6221365961</v>
      </c>
      <c r="K13" s="57">
        <f t="shared" si="2"/>
        <v>2029</v>
      </c>
      <c r="L13" s="65">
        <f>IF(B13&gt;Parameters!$B$28,0,L12*(1-VLOOKUP($B13-1,'Mortality tables'!$A$5:$G$125,6,FALSE)))</f>
        <v>0.96666640852606933</v>
      </c>
      <c r="M13" s="65">
        <f>IF(C13&gt;Parameters!$B$28,0,M12*(1-VLOOKUP($C13-1,'Mortality tables'!$A$5:$G$125,7,FALSE)))</f>
        <v>0.96225279064175062</v>
      </c>
      <c r="N13" s="62">
        <f>IF(L$4+$A13-Parameters!$B$18&lt;Parameters!$C$24,0,Parameters!$D$24*Parameters!$B$27*'Annuity projections'!L13)</f>
        <v>966666.40852606937</v>
      </c>
      <c r="O13" s="62">
        <f>IF(M$4+$A13-Parameters!$B$18&lt;Parameters!$C$25,0,Parameters!$D$25*Parameters!$B$27*'Annuity projections'!M13)</f>
        <v>481126.39532087534</v>
      </c>
      <c r="P13" s="62">
        <f>L13*Parameters!$B$46*(1+Parameters!$B$54)*Parameters!$D$24+Parameters!$B$46*(1+Parameters!$B$54)*Parameters!$D$25*'Annuity projections'!M13</f>
        <v>15925.720842316392</v>
      </c>
      <c r="Q13" s="72">
        <f t="shared" si="3"/>
        <v>1463718.5246892609</v>
      </c>
    </row>
    <row r="14" spans="1:17">
      <c r="A14" s="57">
        <f t="shared" si="0"/>
        <v>2030</v>
      </c>
      <c r="B14" s="30">
        <f>$D$4+$A14-Parameters!$B$18</f>
        <v>63</v>
      </c>
      <c r="C14" s="30">
        <f>$E$4+$A14-Parameters!$B$18</f>
        <v>68</v>
      </c>
      <c r="D14" s="65">
        <f>IF(B14&gt;Parameters!$B$28,0,D13*(1-VLOOKUP($B14-1,'Mortality tables'!$A$5:$E$125,2,FALSE)))</f>
        <v>0.95287819424724329</v>
      </c>
      <c r="E14" s="65">
        <f>IF(C14&gt;Parameters!$B$28,0,E13*(1-VLOOKUP($C14-1,'Mortality tables'!$A$5:$E$125,3,FALSE)))</f>
        <v>0.94782742048039492</v>
      </c>
      <c r="F14" s="62">
        <f>IF(D$4+$A14-Parameters!$B$18&lt;Parameters!$C$24,0,Parameters!$D$24*Parameters!$B$27*'Annuity projections'!D14)</f>
        <v>952878.19424724334</v>
      </c>
      <c r="G14" s="62">
        <f>IF(E$4+$A14-Parameters!$B$18&lt;Parameters!$C$25,0,Parameters!$D$25*Parameters!$B$27*'Annuity projections'!E14)</f>
        <v>473913.71024019748</v>
      </c>
      <c r="H14" s="62">
        <f>Parameters!$D$24*'Annuity projections'!D14*Parameters!$B$46+Parameters!$B$46*Parameters!$D$25*'Annuity projections'!E14</f>
        <v>14267.919044874408</v>
      </c>
      <c r="I14" s="63">
        <f t="shared" si="1"/>
        <v>1441059.8235323152</v>
      </c>
      <c r="K14" s="57">
        <f t="shared" si="2"/>
        <v>2030</v>
      </c>
      <c r="L14" s="65">
        <f>IF(B14&gt;Parameters!$B$28,0,L13*(1-VLOOKUP($B14-1,'Mortality tables'!$A$5:$G$125,6,FALSE)))</f>
        <v>0.95982110535405329</v>
      </c>
      <c r="M14" s="65">
        <f>IF(C14&gt;Parameters!$B$28,0,M13*(1-VLOOKUP($C14-1,'Mortality tables'!$A$5:$G$125,7,FALSE)))</f>
        <v>0.95549844962839903</v>
      </c>
      <c r="N14" s="62">
        <f>IF(L$4+$A14-Parameters!$B$18&lt;Parameters!$C$24,0,Parameters!$D$24*Parameters!$B$27*'Annuity projections'!L14)</f>
        <v>959821.10535405332</v>
      </c>
      <c r="O14" s="62">
        <f>IF(M$4+$A14-Parameters!$B$18&lt;Parameters!$C$25,0,Parameters!$D$25*Parameters!$B$27*'Annuity projections'!M14)</f>
        <v>477749.22481419949</v>
      </c>
      <c r="P14" s="62">
        <f>L14*Parameters!$B$46*(1+Parameters!$B$54)*Parameters!$D$24+Parameters!$B$46*(1+Parameters!$B$54)*Parameters!$D$25*'Annuity projections'!M14</f>
        <v>15813.273631850781</v>
      </c>
      <c r="Q14" s="72">
        <f t="shared" si="3"/>
        <v>1453383.6038001035</v>
      </c>
    </row>
    <row r="15" spans="1:17">
      <c r="A15" s="57">
        <f t="shared" si="0"/>
        <v>2031</v>
      </c>
      <c r="B15" s="30">
        <f>$D$4+$A15-Parameters!$B$18</f>
        <v>64</v>
      </c>
      <c r="C15" s="30">
        <f>$E$4+$A15-Parameters!$B$18</f>
        <v>69</v>
      </c>
      <c r="D15" s="65">
        <f>IF(B15&gt;Parameters!$B$28,0,D14*(1-VLOOKUP($B15-1,'Mortality tables'!$A$5:$E$125,2,FALSE)))</f>
        <v>0.944159358769881</v>
      </c>
      <c r="E15" s="65">
        <f>IF(C15&gt;Parameters!$B$28,0,E14*(1-VLOOKUP($C15-1,'Mortality tables'!$A$5:$E$125,3,FALSE)))</f>
        <v>0.93926853887345696</v>
      </c>
      <c r="F15" s="62">
        <f>IF(D$4+$A15-Parameters!$B$18&lt;Parameters!$C$24,0,Parameters!$D$24*Parameters!$B$27*'Annuity projections'!D15)</f>
        <v>944159.35876988096</v>
      </c>
      <c r="G15" s="62">
        <f>IF(E$4+$A15-Parameters!$B$18&lt;Parameters!$C$25,0,Parameters!$D$25*Parameters!$B$27*'Annuity projections'!E15)</f>
        <v>469634.2694367285</v>
      </c>
      <c r="H15" s="62">
        <f>Parameters!$D$24*'Annuity projections'!D15*Parameters!$B$46+Parameters!$B$46*Parameters!$D$25*'Annuity projections'!E15</f>
        <v>14137.936282066094</v>
      </c>
      <c r="I15" s="63">
        <f t="shared" si="1"/>
        <v>1427931.5644886757</v>
      </c>
      <c r="K15" s="57">
        <f t="shared" si="2"/>
        <v>2031</v>
      </c>
      <c r="L15" s="65">
        <f>IF(B15&gt;Parameters!$B$28,0,L14*(1-VLOOKUP($B15-1,'Mortality tables'!$A$5:$G$125,6,FALSE)))</f>
        <v>0.95235609670716215</v>
      </c>
      <c r="M15" s="65">
        <f>IF(C15&gt;Parameters!$B$28,0,M14*(1-VLOOKUP($C15-1,'Mortality tables'!$A$5:$G$125,7,FALSE)))</f>
        <v>0.94816452127827633</v>
      </c>
      <c r="N15" s="62">
        <f>IF(L$4+$A15-Parameters!$B$18&lt;Parameters!$C$24,0,Parameters!$D$24*Parameters!$B$27*'Annuity projections'!L15)</f>
        <v>952356.0967071621</v>
      </c>
      <c r="O15" s="62">
        <f>IF(M$4+$A15-Parameters!$B$18&lt;Parameters!$C$25,0,Parameters!$D$25*Parameters!$B$27*'Annuity projections'!M15)</f>
        <v>474082.26063913817</v>
      </c>
      <c r="P15" s="62">
        <f>L15*Parameters!$B$46*(1+Parameters!$B$54)*Parameters!$D$24+Parameters!$B$46*(1+Parameters!$B$54)*Parameters!$D$25*'Annuity projections'!M15</f>
        <v>15690.821930809305</v>
      </c>
      <c r="Q15" s="72">
        <f t="shared" si="3"/>
        <v>1442129.1792771097</v>
      </c>
    </row>
    <row r="16" spans="1:17">
      <c r="A16" s="57">
        <f t="shared" si="0"/>
        <v>2032</v>
      </c>
      <c r="B16" s="30">
        <f>$D$4+$A16-Parameters!$B$18</f>
        <v>65</v>
      </c>
      <c r="C16" s="30">
        <f>$E$4+$A16-Parameters!$B$18</f>
        <v>70</v>
      </c>
      <c r="D16" s="65">
        <f>IF(B16&gt;Parameters!$B$28,0,D15*(1-VLOOKUP($B16-1,'Mortality tables'!$A$5:$E$125,2,FALSE)))</f>
        <v>0.93470643526987696</v>
      </c>
      <c r="E16" s="65">
        <f>IF(C16&gt;Parameters!$B$28,0,E15*(1-VLOOKUP($C16-1,'Mortality tables'!$A$5:$E$125,3,FALSE)))</f>
        <v>0.92999607985769817</v>
      </c>
      <c r="F16" s="62">
        <f>IF(D$4+$A16-Parameters!$B$18&lt;Parameters!$C$24,0,Parameters!$D$24*Parameters!$B$27*'Annuity projections'!D16)</f>
        <v>934706.43526987697</v>
      </c>
      <c r="G16" s="62">
        <f>IF(E$4+$A16-Parameters!$B$18&lt;Parameters!$C$25,0,Parameters!$D$25*Parameters!$B$27*'Annuity projections'!E16)</f>
        <v>464998.03992884909</v>
      </c>
      <c r="H16" s="62">
        <f>Parameters!$D$24*'Annuity projections'!D16*Parameters!$B$46+Parameters!$B$46*Parameters!$D$25*'Annuity projections'!E16</f>
        <v>13997.044751987261</v>
      </c>
      <c r="I16" s="63">
        <f t="shared" si="1"/>
        <v>1413701.5199507135</v>
      </c>
      <c r="K16" s="57">
        <f t="shared" si="2"/>
        <v>2032</v>
      </c>
      <c r="L16" s="65">
        <f>IF(B16&gt;Parameters!$B$28,0,L15*(1-VLOOKUP($B16-1,'Mortality tables'!$A$5:$G$125,6,FALSE)))</f>
        <v>0.94425135585296482</v>
      </c>
      <c r="M16" s="65">
        <f>IF(C16&gt;Parameters!$B$28,0,M15*(1-VLOOKUP($C16-1,'Mortality tables'!$A$5:$G$125,7,FALSE)))</f>
        <v>0.94020828314732596</v>
      </c>
      <c r="N16" s="62">
        <f>IF(L$4+$A16-Parameters!$B$18&lt;Parameters!$C$24,0,Parameters!$D$24*Parameters!$B$27*'Annuity projections'!L16)</f>
        <v>944251.3558529648</v>
      </c>
      <c r="O16" s="62">
        <f>IF(M$4+$A16-Parameters!$B$18&lt;Parameters!$C$25,0,Parameters!$D$25*Parameters!$B$27*'Annuity projections'!M16)</f>
        <v>470104.14157366299</v>
      </c>
      <c r="P16" s="62">
        <f>L16*Parameters!$B$46*(1+Parameters!$B$54)*Parameters!$D$24+Parameters!$B$46*(1+Parameters!$B$54)*Parameters!$D$25*'Annuity projections'!M16</f>
        <v>15557.910471692907</v>
      </c>
      <c r="Q16" s="72">
        <f t="shared" si="3"/>
        <v>1429913.4078983206</v>
      </c>
    </row>
    <row r="17" spans="1:17">
      <c r="A17" s="57">
        <f t="shared" si="0"/>
        <v>2033</v>
      </c>
      <c r="B17" s="30">
        <f>$D$4+$A17-Parameters!$B$18</f>
        <v>66</v>
      </c>
      <c r="C17" s="30">
        <f>$E$4+$A17-Parameters!$B$18</f>
        <v>71</v>
      </c>
      <c r="D17" s="65">
        <f>IF(B17&gt;Parameters!$B$28,0,D16*(1-VLOOKUP($B17-1,'Mortality tables'!$A$5:$E$125,2,FALSE)))</f>
        <v>0.92450878806108261</v>
      </c>
      <c r="E17" s="65">
        <f>IF(C17&gt;Parameters!$B$28,0,E16*(1-VLOOKUP($C17-1,'Mortality tables'!$A$5:$E$125,3,FALSE)))</f>
        <v>0.9199670021325127</v>
      </c>
      <c r="F17" s="62">
        <f>IF(D$4+$A17-Parameters!$B$18&lt;Parameters!$C$24,0,Parameters!$D$24*Parameters!$B$27*'Annuity projections'!D17)</f>
        <v>924508.7880610826</v>
      </c>
      <c r="G17" s="62">
        <f>IF(E$4+$A17-Parameters!$B$18&lt;Parameters!$C$25,0,Parameters!$D$25*Parameters!$B$27*'Annuity projections'!E17)</f>
        <v>459983.50106625637</v>
      </c>
      <c r="H17" s="62">
        <f>Parameters!$D$24*'Annuity projections'!D17*Parameters!$B$46+Parameters!$B$46*Parameters!$D$25*'Annuity projections'!E17</f>
        <v>13844.922891273389</v>
      </c>
      <c r="I17" s="63">
        <f t="shared" si="1"/>
        <v>1398337.2120186123</v>
      </c>
      <c r="K17" s="57">
        <f t="shared" si="2"/>
        <v>2033</v>
      </c>
      <c r="L17" s="65">
        <f>IF(B17&gt;Parameters!$B$28,0,L16*(1-VLOOKUP($B17-1,'Mortality tables'!$A$5:$G$125,6,FALSE)))</f>
        <v>0.93549484090446233</v>
      </c>
      <c r="M17" s="65">
        <f>IF(C17&gt;Parameters!$B$28,0,M16*(1-VLOOKUP($C17-1,'Mortality tables'!$A$5:$G$125,7,FALSE)))</f>
        <v>0.93158995794068433</v>
      </c>
      <c r="N17" s="62">
        <f>IF(L$4+$A17-Parameters!$B$18&lt;Parameters!$C$24,0,Parameters!$D$24*Parameters!$B$27*'Annuity projections'!L17)</f>
        <v>935494.84090446238</v>
      </c>
      <c r="O17" s="62">
        <f>IF(M$4+$A17-Parameters!$B$18&lt;Parameters!$C$25,0,Parameters!$D$25*Parameters!$B$27*'Annuity projections'!M17)</f>
        <v>465794.97897034214</v>
      </c>
      <c r="P17" s="62">
        <f>L17*Parameters!$B$46*(1+Parameters!$B$54)*Parameters!$D$24+Parameters!$B$46*(1+Parameters!$B$54)*Parameters!$D$25*'Annuity projections'!M17</f>
        <v>15414.188018622852</v>
      </c>
      <c r="Q17" s="72">
        <f t="shared" si="3"/>
        <v>1416704.0078934273</v>
      </c>
    </row>
    <row r="18" spans="1:17">
      <c r="A18" s="57">
        <f t="shared" si="0"/>
        <v>2034</v>
      </c>
      <c r="B18" s="30">
        <f>$D$4+$A18-Parameters!$B$18</f>
        <v>67</v>
      </c>
      <c r="C18" s="30">
        <f>$E$4+$A18-Parameters!$B$18</f>
        <v>72</v>
      </c>
      <c r="D18" s="65">
        <f>IF(B18&gt;Parameters!$B$28,0,D17*(1-VLOOKUP($B18-1,'Mortality tables'!$A$5:$E$125,2,FALSE)))</f>
        <v>0.91357092458953193</v>
      </c>
      <c r="E18" s="65">
        <f>IF(C18&gt;Parameters!$B$28,0,E17*(1-VLOOKUP($C18-1,'Mortality tables'!$A$5:$E$125,3,FALSE)))</f>
        <v>0.90913807055041096</v>
      </c>
      <c r="F18" s="62">
        <f>IF(D$4+$A18-Parameters!$B$18&lt;Parameters!$C$24,0,Parameters!$D$24*Parameters!$B$27*'Annuity projections'!D18)</f>
        <v>913570.92458953196</v>
      </c>
      <c r="G18" s="62">
        <f>IF(E$4+$A18-Parameters!$B$18&lt;Parameters!$C$25,0,Parameters!$D$25*Parameters!$B$27*'Annuity projections'!E18)</f>
        <v>454569.0352752055</v>
      </c>
      <c r="H18" s="62">
        <f>Parameters!$D$24*'Annuity projections'!D18*Parameters!$B$46+Parameters!$B$46*Parameters!$D$25*'Annuity projections'!E18</f>
        <v>13681.399598647375</v>
      </c>
      <c r="I18" s="63">
        <f t="shared" si="1"/>
        <v>1381821.3594633848</v>
      </c>
      <c r="K18" s="57">
        <f t="shared" si="2"/>
        <v>2034</v>
      </c>
      <c r="L18" s="65">
        <f>IF(B18&gt;Parameters!$B$28,0,L17*(1-VLOOKUP($B18-1,'Mortality tables'!$A$5:$G$125,6,FALSE)))</f>
        <v>0.92608717736113266</v>
      </c>
      <c r="M18" s="65">
        <f>IF(C18&gt;Parameters!$B$28,0,M17*(1-VLOOKUP($C18-1,'Mortality tables'!$A$5:$G$125,7,FALSE)))</f>
        <v>0.92226907435500249</v>
      </c>
      <c r="N18" s="62">
        <f>IF(L$4+$A18-Parameters!$B$18&lt;Parameters!$C$24,0,Parameters!$D$24*Parameters!$B$27*'Annuity projections'!L18)</f>
        <v>926087.17736113269</v>
      </c>
      <c r="O18" s="62">
        <f>IF(M$4+$A18-Parameters!$B$18&lt;Parameters!$C$25,0,Parameters!$D$25*Parameters!$B$27*'Annuity projections'!M18)</f>
        <v>461134.53717750125</v>
      </c>
      <c r="P18" s="62">
        <f>L18*Parameters!$B$46*(1+Parameters!$B$54)*Parameters!$D$24+Parameters!$B$46*(1+Parameters!$B$54)*Parameters!$D$25*'Annuity projections'!M18</f>
        <v>15259.438859924972</v>
      </c>
      <c r="Q18" s="72">
        <f t="shared" si="3"/>
        <v>1402481.1533985587</v>
      </c>
    </row>
    <row r="19" spans="1:17">
      <c r="A19" s="57">
        <f t="shared" si="0"/>
        <v>2035</v>
      </c>
      <c r="B19" s="30">
        <f>$D$4+$A19-Parameters!$B$18</f>
        <v>68</v>
      </c>
      <c r="C19" s="30">
        <f>$E$4+$A19-Parameters!$B$18</f>
        <v>73</v>
      </c>
      <c r="D19" s="65">
        <f>IF(B19&gt;Parameters!$B$28,0,D18*(1-VLOOKUP($B19-1,'Mortality tables'!$A$5:$E$125,2,FALSE)))</f>
        <v>0.90191101887899572</v>
      </c>
      <c r="E19" s="65">
        <f>IF(C19&gt;Parameters!$B$28,0,E18*(1-VLOOKUP($C19-1,'Mortality tables'!$A$5:$E$125,3,FALSE)))</f>
        <v>0.89745746461997933</v>
      </c>
      <c r="F19" s="62">
        <f>IF(D$4+$A19-Parameters!$B$18&lt;Parameters!$C$24,0,Parameters!$D$24*Parameters!$B$27*'Annuity projections'!D19)</f>
        <v>901911.01887899567</v>
      </c>
      <c r="G19" s="62">
        <f>IF(E$4+$A19-Parameters!$B$18&lt;Parameters!$C$25,0,Parameters!$D$25*Parameters!$B$27*'Annuity projections'!E19)</f>
        <v>448728.73230998969</v>
      </c>
      <c r="H19" s="62">
        <f>Parameters!$D$24*'Annuity projections'!D19*Parameters!$B$46+Parameters!$B$46*Parameters!$D$25*'Annuity projections'!E19</f>
        <v>13506.397511889852</v>
      </c>
      <c r="I19" s="63">
        <f t="shared" si="1"/>
        <v>1364146.1487008752</v>
      </c>
      <c r="K19" s="57">
        <f t="shared" si="2"/>
        <v>2035</v>
      </c>
      <c r="L19" s="65">
        <f>IF(B19&gt;Parameters!$B$28,0,L18*(1-VLOOKUP($B19-1,'Mortality tables'!$A$5:$G$125,6,FALSE)))</f>
        <v>0.91604047431317159</v>
      </c>
      <c r="M19" s="65">
        <f>IF(C19&gt;Parameters!$B$28,0,M18*(1-VLOOKUP($C19-1,'Mortality tables'!$A$5:$G$125,7,FALSE)))</f>
        <v>0.91219715824778647</v>
      </c>
      <c r="N19" s="62">
        <f>IF(L$4+$A19-Parameters!$B$18&lt;Parameters!$C$24,0,Parameters!$D$24*Parameters!$B$27*'Annuity projections'!L19)</f>
        <v>916040.47431317158</v>
      </c>
      <c r="O19" s="62">
        <f>IF(M$4+$A19-Parameters!$B$18&lt;Parameters!$C$25,0,Parameters!$D$25*Parameters!$B$27*'Annuity projections'!M19)</f>
        <v>456098.57912389323</v>
      </c>
      <c r="P19" s="62">
        <f>L19*Parameters!$B$46*(1+Parameters!$B$54)*Parameters!$D$24+Parameters!$B$46*(1+Parameters!$B$54)*Parameters!$D$25*'Annuity projections'!M19</f>
        <v>15093.529587807714</v>
      </c>
      <c r="Q19" s="72">
        <f t="shared" si="3"/>
        <v>1387232.5830248725</v>
      </c>
    </row>
    <row r="20" spans="1:17">
      <c r="A20" s="57">
        <f t="shared" si="0"/>
        <v>2036</v>
      </c>
      <c r="B20" s="30">
        <f>$D$4+$A20-Parameters!$B$18</f>
        <v>69</v>
      </c>
      <c r="C20" s="30">
        <f>$E$4+$A20-Parameters!$B$18</f>
        <v>74</v>
      </c>
      <c r="D20" s="65">
        <f>IF(B20&gt;Parameters!$B$28,0,D19*(1-VLOOKUP($B20-1,'Mortality tables'!$A$5:$E$125,2,FALSE)))</f>
        <v>0.88956475894156117</v>
      </c>
      <c r="E20" s="65">
        <f>IF(C20&gt;Parameters!$B$28,0,E19*(1-VLOOKUP($C20-1,'Mortality tables'!$A$5:$E$125,3,FALSE)))</f>
        <v>0.88485805927417938</v>
      </c>
      <c r="F20" s="62">
        <f>IF(D$4+$A20-Parameters!$B$18&lt;Parameters!$C$24,0,Parameters!$D$24*Parameters!$B$27*'Annuity projections'!D20)</f>
        <v>889564.75894156122</v>
      </c>
      <c r="G20" s="62">
        <f>IF(E$4+$A20-Parameters!$B$18&lt;Parameters!$C$25,0,Parameters!$D$25*Parameters!$B$27*'Annuity projections'!E20)</f>
        <v>442429.0296370897</v>
      </c>
      <c r="H20" s="62">
        <f>Parameters!$D$24*'Annuity projections'!D20*Parameters!$B$46+Parameters!$B$46*Parameters!$D$25*'Annuity projections'!E20</f>
        <v>13319.937885786509</v>
      </c>
      <c r="I20" s="63">
        <f t="shared" si="1"/>
        <v>1345313.7264644373</v>
      </c>
      <c r="K20" s="57">
        <f t="shared" si="2"/>
        <v>2036</v>
      </c>
      <c r="L20" s="65">
        <f>IF(B20&gt;Parameters!$B$28,0,L19*(1-VLOOKUP($B20-1,'Mortality tables'!$A$5:$G$125,6,FALSE)))</f>
        <v>0.90538174796822957</v>
      </c>
      <c r="M20" s="65">
        <f>IF(C20&gt;Parameters!$B$28,0,M19*(1-VLOOKUP($C20-1,'Mortality tables'!$A$5:$G$125,7,FALSE)))</f>
        <v>0.90131177272884189</v>
      </c>
      <c r="N20" s="62">
        <f>IF(L$4+$A20-Parameters!$B$18&lt;Parameters!$C$24,0,Parameters!$D$24*Parameters!$B$27*'Annuity projections'!L20)</f>
        <v>905381.74796822958</v>
      </c>
      <c r="O20" s="62">
        <f>IF(M$4+$A20-Parameters!$B$18&lt;Parameters!$C$25,0,Parameters!$D$25*Parameters!$B$27*'Annuity projections'!M20)</f>
        <v>450655.88636442093</v>
      </c>
      <c r="P20" s="62">
        <f>L20*Parameters!$B$46*(1+Parameters!$B$54)*Parameters!$D$24+Parameters!$B$46*(1+Parameters!$B$54)*Parameters!$D$25*'Annuity projections'!M20</f>
        <v>14916.413977659156</v>
      </c>
      <c r="Q20" s="72">
        <f t="shared" si="3"/>
        <v>1370954.0483103096</v>
      </c>
    </row>
    <row r="21" spans="1:17">
      <c r="A21" s="57">
        <f t="shared" si="0"/>
        <v>2037</v>
      </c>
      <c r="B21" s="30">
        <f>$D$4+$A21-Parameters!$B$18</f>
        <v>70</v>
      </c>
      <c r="C21" s="30">
        <f>$E$4+$A21-Parameters!$B$18</f>
        <v>75</v>
      </c>
      <c r="D21" s="65">
        <f>IF(B21&gt;Parameters!$B$28,0,D20*(1-VLOOKUP($B21-1,'Mortality tables'!$A$5:$E$125,2,FALSE)))</f>
        <v>0.87658600910860385</v>
      </c>
      <c r="E21" s="65">
        <f>IF(C21&gt;Parameters!$B$28,0,E20*(1-VLOOKUP($C21-1,'Mortality tables'!$A$5:$E$125,3,FALSE)))</f>
        <v>0.871256906045076</v>
      </c>
      <c r="F21" s="62">
        <f>IF(D$4+$A21-Parameters!$B$18&lt;Parameters!$C$24,0,Parameters!$D$24*Parameters!$B$27*'Annuity projections'!D21)</f>
        <v>876586.00910860382</v>
      </c>
      <c r="G21" s="62">
        <f>IF(E$4+$A21-Parameters!$B$18&lt;Parameters!$C$25,0,Parameters!$D$25*Parameters!$B$27*'Annuity projections'!E21)</f>
        <v>435628.45302253799</v>
      </c>
      <c r="H21" s="62">
        <f>Parameters!$D$24*'Annuity projections'!D21*Parameters!$B$46+Parameters!$B$46*Parameters!$D$25*'Annuity projections'!E21</f>
        <v>13122.144621311418</v>
      </c>
      <c r="I21" s="63">
        <f t="shared" si="1"/>
        <v>1325336.6067524531</v>
      </c>
      <c r="K21" s="57">
        <f t="shared" si="2"/>
        <v>2037</v>
      </c>
      <c r="L21" s="65">
        <f>IF(B21&gt;Parameters!$B$28,0,L20*(1-VLOOKUP($B21-1,'Mortality tables'!$A$5:$G$125,6,FALSE)))</f>
        <v>0.89415365622080156</v>
      </c>
      <c r="M21" s="65">
        <f>IF(C21&gt;Parameters!$B$28,0,M20*(1-VLOOKUP($C21-1,'Mortality tables'!$A$5:$G$125,7,FALSE)))</f>
        <v>0.88953581895901912</v>
      </c>
      <c r="N21" s="62">
        <f>IF(L$4+$A21-Parameters!$B$18&lt;Parameters!$C$24,0,Parameters!$D$24*Parameters!$B$27*'Annuity projections'!L21)</f>
        <v>894153.65622080152</v>
      </c>
      <c r="O21" s="62">
        <f>IF(M$4+$A21-Parameters!$B$18&lt;Parameters!$C$25,0,Parameters!$D$25*Parameters!$B$27*'Annuity projections'!M21)</f>
        <v>444767.90947950957</v>
      </c>
      <c r="P21" s="62">
        <f>L21*Parameters!$B$46*(1+Parameters!$B$54)*Parameters!$D$24+Parameters!$B$46*(1+Parameters!$B$54)*Parameters!$D$25*'Annuity projections'!M21</f>
        <v>14728.137222703424</v>
      </c>
      <c r="Q21" s="72">
        <f t="shared" si="3"/>
        <v>1353649.7029230145</v>
      </c>
    </row>
    <row r="22" spans="1:17">
      <c r="A22" s="57">
        <f t="shared" si="0"/>
        <v>2038</v>
      </c>
      <c r="B22" s="30">
        <f>$D$4+$A22-Parameters!$B$18</f>
        <v>71</v>
      </c>
      <c r="C22" s="30">
        <f>$E$4+$A22-Parameters!$B$18</f>
        <v>76</v>
      </c>
      <c r="D22" s="65">
        <f>IF(B22&gt;Parameters!$B$28,0,D21*(1-VLOOKUP($B22-1,'Mortality tables'!$A$5:$E$125,2,FALSE)))</f>
        <v>0.86304538502590322</v>
      </c>
      <c r="E22" s="65">
        <f>IF(C22&gt;Parameters!$B$28,0,E21*(1-VLOOKUP($C22-1,'Mortality tables'!$A$5:$E$125,3,FALSE)))</f>
        <v>0.85655444575556539</v>
      </c>
      <c r="F22" s="62">
        <f>IF(D$4+$A22-Parameters!$B$18&lt;Parameters!$C$24,0,Parameters!$D$24*Parameters!$B$27*'Annuity projections'!D22)</f>
        <v>863045.38502590323</v>
      </c>
      <c r="G22" s="62">
        <f>IF(E$4+$A22-Parameters!$B$18&lt;Parameters!$C$25,0,Parameters!$D$25*Parameters!$B$27*'Annuity projections'!E22)</f>
        <v>428277.22287778271</v>
      </c>
      <c r="H22" s="62">
        <f>Parameters!$D$24*'Annuity projections'!D22*Parameters!$B$46+Parameters!$B$46*Parameters!$D$25*'Annuity projections'!E22</f>
        <v>12913.22607903686</v>
      </c>
      <c r="I22" s="63">
        <f t="shared" si="1"/>
        <v>1304235.8339827228</v>
      </c>
      <c r="K22" s="57">
        <f t="shared" si="2"/>
        <v>2038</v>
      </c>
      <c r="L22" s="65">
        <f>IF(B22&gt;Parameters!$B$28,0,L21*(1-VLOOKUP($B22-1,'Mortality tables'!$A$5:$G$125,6,FALSE)))</f>
        <v>0.88241346342230531</v>
      </c>
      <c r="M22" s="65">
        <f>IF(C22&gt;Parameters!$B$28,0,M21*(1-VLOOKUP($C22-1,'Mortality tables'!$A$5:$G$125,7,FALSE)))</f>
        <v>0.87677653955582568</v>
      </c>
      <c r="N22" s="62">
        <f>IF(L$4+$A22-Parameters!$B$18&lt;Parameters!$C$24,0,Parameters!$D$24*Parameters!$B$27*'Annuity projections'!L22)</f>
        <v>882413.4634223053</v>
      </c>
      <c r="O22" s="62">
        <f>IF(M$4+$A22-Parameters!$B$18&lt;Parameters!$C$25,0,Parameters!$D$25*Parameters!$B$27*'Annuity projections'!M22)</f>
        <v>438388.26977791282</v>
      </c>
      <c r="P22" s="62">
        <f>L22*Parameters!$B$46*(1+Parameters!$B$54)*Parameters!$D$24+Parameters!$B$46*(1+Parameters!$B$54)*Parameters!$D$25*'Annuity projections'!M22</f>
        <v>14528.819065202402</v>
      </c>
      <c r="Q22" s="72">
        <f t="shared" si="3"/>
        <v>1335330.5522654206</v>
      </c>
    </row>
    <row r="23" spans="1:17">
      <c r="A23" s="57">
        <f t="shared" si="0"/>
        <v>2039</v>
      </c>
      <c r="B23" s="30">
        <f>$D$4+$A23-Parameters!$B$18</f>
        <v>72</v>
      </c>
      <c r="C23" s="30">
        <f>$E$4+$A23-Parameters!$B$18</f>
        <v>77</v>
      </c>
      <c r="D23" s="65">
        <f>IF(B23&gt;Parameters!$B$28,0,D22*(1-VLOOKUP($B23-1,'Mortality tables'!$A$5:$E$125,2,FALSE)))</f>
        <v>0.84822171749269837</v>
      </c>
      <c r="E23" s="65">
        <f>IF(C23&gt;Parameters!$B$28,0,E22*(1-VLOOKUP($C23-1,'Mortality tables'!$A$5:$E$125,3,FALSE)))</f>
        <v>0.8406353813811982</v>
      </c>
      <c r="F23" s="62">
        <f>IF(D$4+$A23-Parameters!$B$18&lt;Parameters!$C$24,0,Parameters!$D$24*Parameters!$B$27*'Annuity projections'!D23)</f>
        <v>848221.71749269834</v>
      </c>
      <c r="G23" s="62">
        <f>IF(E$4+$A23-Parameters!$B$18&lt;Parameters!$C$25,0,Parameters!$D$25*Parameters!$B$27*'Annuity projections'!E23)</f>
        <v>420317.69069059909</v>
      </c>
      <c r="H23" s="62">
        <f>Parameters!$D$24*'Annuity projections'!D23*Parameters!$B$46+Parameters!$B$46*Parameters!$D$25*'Annuity projections'!E23</f>
        <v>12685.394081832976</v>
      </c>
      <c r="I23" s="63">
        <f t="shared" si="1"/>
        <v>1281224.8022651304</v>
      </c>
      <c r="K23" s="57">
        <f t="shared" si="2"/>
        <v>2039</v>
      </c>
      <c r="L23" s="65">
        <f>IF(B23&gt;Parameters!$B$28,0,L22*(1-VLOOKUP($B23-1,'Mortality tables'!$A$5:$G$125,6,FALSE)))</f>
        <v>0.86953057982172499</v>
      </c>
      <c r="M23" s="65">
        <f>IF(C23&gt;Parameters!$B$28,0,M22*(1-VLOOKUP($C23-1,'Mortality tables'!$A$5:$G$125,7,FALSE)))</f>
        <v>0.86292588136632742</v>
      </c>
      <c r="N23" s="62">
        <f>IF(L$4+$A23-Parameters!$B$18&lt;Parameters!$C$24,0,Parameters!$D$24*Parameters!$B$27*'Annuity projections'!L23)</f>
        <v>869530.57982172503</v>
      </c>
      <c r="O23" s="62">
        <f>IF(M$4+$A23-Parameters!$B$18&lt;Parameters!$C$25,0,Parameters!$D$25*Parameters!$B$27*'Annuity projections'!M23)</f>
        <v>431462.9406831637</v>
      </c>
      <c r="P23" s="62">
        <f>L23*Parameters!$B$46*(1+Parameters!$B$54)*Parameters!$D$24+Parameters!$B$46*(1+Parameters!$B$54)*Parameters!$D$25*'Annuity projections'!M23</f>
        <v>14310.928725553777</v>
      </c>
      <c r="Q23" s="72">
        <f t="shared" si="3"/>
        <v>1315304.4492304423</v>
      </c>
    </row>
    <row r="24" spans="1:17">
      <c r="A24" s="57">
        <f t="shared" si="0"/>
        <v>2040</v>
      </c>
      <c r="B24" s="30">
        <f>$D$4+$A24-Parameters!$B$18</f>
        <v>73</v>
      </c>
      <c r="C24" s="30">
        <f>$E$4+$A24-Parameters!$B$18</f>
        <v>78</v>
      </c>
      <c r="D24" s="65">
        <f>IF(B24&gt;Parameters!$B$28,0,D23*(1-VLOOKUP($B24-1,'Mortality tables'!$A$5:$E$125,2,FALSE)))</f>
        <v>0.83203425423606769</v>
      </c>
      <c r="E24" s="65">
        <f>IF(C24&gt;Parameters!$B$28,0,E23*(1-VLOOKUP($C24-1,'Mortality tables'!$A$5:$E$125,3,FALSE)))</f>
        <v>0.82336873064762839</v>
      </c>
      <c r="F24" s="62">
        <f>IF(D$4+$A24-Parameters!$B$18&lt;Parameters!$C$24,0,Parameters!$D$24*Parameters!$B$27*'Annuity projections'!D24)</f>
        <v>832034.25423606765</v>
      </c>
      <c r="G24" s="62">
        <f>IF(E$4+$A24-Parameters!$B$18&lt;Parameters!$C$25,0,Parameters!$D$25*Parameters!$B$27*'Annuity projections'!E24)</f>
        <v>411684.36532381421</v>
      </c>
      <c r="H24" s="62">
        <f>Parameters!$D$24*'Annuity projections'!D24*Parameters!$B$46+Parameters!$B$46*Parameters!$D$25*'Annuity projections'!E24</f>
        <v>12437.186195598819</v>
      </c>
      <c r="I24" s="63">
        <f t="shared" si="1"/>
        <v>1256155.8057554807</v>
      </c>
      <c r="K24" s="57">
        <f t="shared" si="2"/>
        <v>2040</v>
      </c>
      <c r="L24" s="65">
        <f>IF(B24&gt;Parameters!$B$28,0,L23*(1-VLOOKUP($B24-1,'Mortality tables'!$A$5:$G$125,6,FALSE)))</f>
        <v>0.85542557647420481</v>
      </c>
      <c r="M24" s="65">
        <f>IF(C24&gt;Parameters!$B$28,0,M23*(1-VLOOKUP($C24-1,'Mortality tables'!$A$5:$G$125,7,FALSE)))</f>
        <v>0.84786005840355272</v>
      </c>
      <c r="N24" s="62">
        <f>IF(L$4+$A24-Parameters!$B$18&lt;Parameters!$C$24,0,Parameters!$D$24*Parameters!$B$27*'Annuity projections'!L24)</f>
        <v>855425.57647420478</v>
      </c>
      <c r="O24" s="62">
        <f>IF(M$4+$A24-Parameters!$B$18&lt;Parameters!$C$25,0,Parameters!$D$25*Parameters!$B$27*'Annuity projections'!M24)</f>
        <v>423930.02920177637</v>
      </c>
      <c r="P24" s="62">
        <f>L24*Parameters!$B$46*(1+Parameters!$B$54)*Parameters!$D$24+Parameters!$B$46*(1+Parameters!$B$54)*Parameters!$D$25*'Annuity projections'!M24</f>
        <v>14072.911662435794</v>
      </c>
      <c r="Q24" s="72">
        <f t="shared" si="3"/>
        <v>1293428.517338417</v>
      </c>
    </row>
    <row r="25" spans="1:17">
      <c r="A25" s="57">
        <f t="shared" si="0"/>
        <v>2041</v>
      </c>
      <c r="B25" s="30">
        <f>$D$4+$A25-Parameters!$B$18</f>
        <v>74</v>
      </c>
      <c r="C25" s="30">
        <f>$E$4+$A25-Parameters!$B$18</f>
        <v>79</v>
      </c>
      <c r="D25" s="65">
        <f>IF(B25&gt;Parameters!$B$28,0,D24*(1-VLOOKUP($B25-1,'Mortality tables'!$A$5:$E$125,2,FALSE)))</f>
        <v>0.81439679211477145</v>
      </c>
      <c r="E25" s="65">
        <f>IF(C25&gt;Parameters!$B$28,0,E24*(1-VLOOKUP($C25-1,'Mortality tables'!$A$5:$E$125,3,FALSE)))</f>
        <v>0.80461156759474473</v>
      </c>
      <c r="F25" s="62">
        <f>IF(D$4+$A25-Parameters!$B$18&lt;Parameters!$C$24,0,Parameters!$D$24*Parameters!$B$27*'Annuity projections'!D25)</f>
        <v>814396.79211477144</v>
      </c>
      <c r="G25" s="62">
        <f>IF(E$4+$A25-Parameters!$B$18&lt;Parameters!$C$25,0,Parameters!$D$25*Parameters!$B$27*'Annuity projections'!E25)</f>
        <v>402305.78379737237</v>
      </c>
      <c r="H25" s="62">
        <f>Parameters!$D$24*'Annuity projections'!D25*Parameters!$B$46+Parameters!$B$46*Parameters!$D$25*'Annuity projections'!E25</f>
        <v>12167.025759121438</v>
      </c>
      <c r="I25" s="63">
        <f t="shared" si="1"/>
        <v>1228869.6016712652</v>
      </c>
      <c r="K25" s="57">
        <f t="shared" si="2"/>
        <v>2041</v>
      </c>
      <c r="L25" s="65">
        <f>IF(B25&gt;Parameters!$B$28,0,L24*(1-VLOOKUP($B25-1,'Mortality tables'!$A$5:$G$125,6,FALSE)))</f>
        <v>0.84001226180961963</v>
      </c>
      <c r="M25" s="65">
        <f>IF(C25&gt;Parameters!$B$28,0,M24*(1-VLOOKUP($C25-1,'Mortality tables'!$A$5:$G$125,7,FALSE)))</f>
        <v>0.8314422234116351</v>
      </c>
      <c r="N25" s="62">
        <f>IF(L$4+$A25-Parameters!$B$18&lt;Parameters!$C$24,0,Parameters!$D$24*Parameters!$B$27*'Annuity projections'!L25)</f>
        <v>840012.26180961961</v>
      </c>
      <c r="O25" s="62">
        <f>IF(M$4+$A25-Parameters!$B$18&lt;Parameters!$C$25,0,Parameters!$D$25*Parameters!$B$27*'Annuity projections'!M25)</f>
        <v>415721.11170581757</v>
      </c>
      <c r="P25" s="62">
        <f>L25*Parameters!$B$46*(1+Parameters!$B$54)*Parameters!$D$24+Parameters!$B$46*(1+Parameters!$B$54)*Parameters!$D$25*'Annuity projections'!M25</f>
        <v>13813.067108669811</v>
      </c>
      <c r="Q25" s="72">
        <f t="shared" si="3"/>
        <v>1269546.4406241069</v>
      </c>
    </row>
    <row r="26" spans="1:17">
      <c r="A26" s="57">
        <f t="shared" si="0"/>
        <v>2042</v>
      </c>
      <c r="B26" s="30">
        <f>$D$4+$A26-Parameters!$B$18</f>
        <v>75</v>
      </c>
      <c r="C26" s="30">
        <f>$E$4+$A26-Parameters!$B$18</f>
        <v>80</v>
      </c>
      <c r="D26" s="65">
        <f>IF(B26&gt;Parameters!$B$28,0,D25*(1-VLOOKUP($B26-1,'Mortality tables'!$A$5:$E$125,2,FALSE)))</f>
        <v>0.79521693326367648</v>
      </c>
      <c r="E26" s="65">
        <f>IF(C26&gt;Parameters!$B$28,0,E25*(1-VLOOKUP($C26-1,'Mortality tables'!$A$5:$E$125,3,FALSE)))</f>
        <v>0.78421144590994762</v>
      </c>
      <c r="F26" s="62">
        <f>IF(D$4+$A26-Parameters!$B$18&lt;Parameters!$C$24,0,Parameters!$D$24*Parameters!$B$27*'Annuity projections'!D26)</f>
        <v>795216.93326367647</v>
      </c>
      <c r="G26" s="62">
        <f>IF(E$4+$A26-Parameters!$B$18&lt;Parameters!$C$25,0,Parameters!$D$25*Parameters!$B$27*'Annuity projections'!E26)</f>
        <v>392105.72295497381</v>
      </c>
      <c r="H26" s="62">
        <f>Parameters!$D$24*'Annuity projections'!D26*Parameters!$B$46+Parameters!$B$46*Parameters!$D$25*'Annuity projections'!E26</f>
        <v>11873.226562186504</v>
      </c>
      <c r="I26" s="63">
        <f t="shared" si="1"/>
        <v>1199195.8827808369</v>
      </c>
      <c r="K26" s="57">
        <f t="shared" si="2"/>
        <v>2042</v>
      </c>
      <c r="L26" s="65">
        <f>IF(B26&gt;Parameters!$B$28,0,L25*(1-VLOOKUP($B26-1,'Mortality tables'!$A$5:$G$125,6,FALSE)))</f>
        <v>0.82319660234842307</v>
      </c>
      <c r="M26" s="65">
        <f>IF(C26&gt;Parameters!$B$28,0,M25*(1-VLOOKUP($C26-1,'Mortality tables'!$A$5:$G$125,7,FALSE)))</f>
        <v>0.81352389519911328</v>
      </c>
      <c r="N26" s="62">
        <f>IF(L$4+$A26-Parameters!$B$18&lt;Parameters!$C$24,0,Parameters!$D$24*Parameters!$B$27*'Annuity projections'!L26)</f>
        <v>823196.6023484231</v>
      </c>
      <c r="O26" s="62">
        <f>IF(M$4+$A26-Parameters!$B$18&lt;Parameters!$C$25,0,Parameters!$D$25*Parameters!$B$27*'Annuity projections'!M26)</f>
        <v>406761.94759955665</v>
      </c>
      <c r="P26" s="62">
        <f>L26*Parameters!$B$46*(1+Parameters!$B$54)*Parameters!$D$24+Parameters!$B$46*(1+Parameters!$B$54)*Parameters!$D$25*'Annuity projections'!M26</f>
        <v>13529.544049427779</v>
      </c>
      <c r="Q26" s="72">
        <f t="shared" si="3"/>
        <v>1243488.0939974077</v>
      </c>
    </row>
    <row r="27" spans="1:17">
      <c r="A27" s="57">
        <f t="shared" si="0"/>
        <v>2043</v>
      </c>
      <c r="B27" s="30">
        <f>$D$4+$A27-Parameters!$B$18</f>
        <v>76</v>
      </c>
      <c r="C27" s="30">
        <f>$E$4+$A27-Parameters!$B$18</f>
        <v>81</v>
      </c>
      <c r="D27" s="65">
        <f>IF(B27&gt;Parameters!$B$28,0,D26*(1-VLOOKUP($B27-1,'Mortality tables'!$A$5:$E$125,2,FALSE)))</f>
        <v>0.77439576830003365</v>
      </c>
      <c r="E27" s="65">
        <f>IF(C27&gt;Parameters!$B$28,0,E26*(1-VLOOKUP($C27-1,'Mortality tables'!$A$5:$E$125,3,FALSE)))</f>
        <v>0.76201590935635843</v>
      </c>
      <c r="F27" s="62">
        <f>IF(D$4+$A27-Parameters!$B$18&lt;Parameters!$C$24,0,Parameters!$D$24*Parameters!$B$27*'Annuity projections'!D27)</f>
        <v>774395.76830003364</v>
      </c>
      <c r="G27" s="62">
        <f>IF(E$4+$A27-Parameters!$B$18&lt;Parameters!$C$25,0,Parameters!$D$25*Parameters!$B$27*'Annuity projections'!E27)</f>
        <v>381007.95467817923</v>
      </c>
      <c r="H27" s="62">
        <f>Parameters!$D$24*'Annuity projections'!D27*Parameters!$B$46+Parameters!$B$46*Parameters!$D$25*'Annuity projections'!E27</f>
        <v>11554.037229782129</v>
      </c>
      <c r="I27" s="63">
        <f t="shared" si="1"/>
        <v>1166957.7602079951</v>
      </c>
      <c r="K27" s="57">
        <f t="shared" si="2"/>
        <v>2043</v>
      </c>
      <c r="L27" s="65">
        <f>IF(B27&gt;Parameters!$B$28,0,L26*(1-VLOOKUP($B27-1,'Mortality tables'!$A$5:$G$125,6,FALSE)))</f>
        <v>0.80487590920502761</v>
      </c>
      <c r="M27" s="65">
        <f>IF(C27&gt;Parameters!$B$28,0,M26*(1-VLOOKUP($C27-1,'Mortality tables'!$A$5:$G$125,7,FALSE)))</f>
        <v>0.7939525034141659</v>
      </c>
      <c r="N27" s="62">
        <f>IF(L$4+$A27-Parameters!$B$18&lt;Parameters!$C$24,0,Parameters!$D$24*Parameters!$B$27*'Annuity projections'!L27)</f>
        <v>804875.90920502762</v>
      </c>
      <c r="O27" s="62">
        <f>IF(M$4+$A27-Parameters!$B$18&lt;Parameters!$C$25,0,Parameters!$D$25*Parameters!$B$27*'Annuity projections'!M27)</f>
        <v>396976.25170708296</v>
      </c>
      <c r="P27" s="62">
        <f>L27*Parameters!$B$46*(1+Parameters!$B$54)*Parameters!$D$24+Parameters!$B$46*(1+Parameters!$B$54)*Parameters!$D$25*'Annuity projections'!M27</f>
        <v>13220.373770033217</v>
      </c>
      <c r="Q27" s="72">
        <f t="shared" si="3"/>
        <v>1215072.5346821437</v>
      </c>
    </row>
    <row r="28" spans="1:17">
      <c r="A28" s="57">
        <f t="shared" si="0"/>
        <v>2044</v>
      </c>
      <c r="B28" s="30">
        <f>$D$4+$A28-Parameters!$B$18</f>
        <v>77</v>
      </c>
      <c r="C28" s="30">
        <f>$E$4+$A28-Parameters!$B$18</f>
        <v>82</v>
      </c>
      <c r="D28" s="65">
        <f>IF(B28&gt;Parameters!$B$28,0,D27*(1-VLOOKUP($B28-1,'Mortality tables'!$A$5:$E$125,2,FALSE)))</f>
        <v>0.75182987561177073</v>
      </c>
      <c r="E28" s="65">
        <f>IF(C28&gt;Parameters!$B$28,0,E27*(1-VLOOKUP($C28-1,'Mortality tables'!$A$5:$E$125,3,FALSE)))</f>
        <v>0.73788134147522377</v>
      </c>
      <c r="F28" s="62">
        <f>IF(D$4+$A28-Parameters!$B$18&lt;Parameters!$C$24,0,Parameters!$D$24*Parameters!$B$27*'Annuity projections'!D28)</f>
        <v>751829.87561177078</v>
      </c>
      <c r="G28" s="62">
        <f>IF(E$4+$A28-Parameters!$B$18&lt;Parameters!$C$25,0,Parameters!$D$25*Parameters!$B$27*'Annuity projections'!E28)</f>
        <v>368940.67073761189</v>
      </c>
      <c r="H28" s="62">
        <f>Parameters!$D$24*'Annuity projections'!D28*Parameters!$B$46+Parameters!$B$46*Parameters!$D$25*'Annuity projections'!E28</f>
        <v>11207.705463493825</v>
      </c>
      <c r="I28" s="63">
        <f t="shared" si="1"/>
        <v>1131978.2518128767</v>
      </c>
      <c r="K28" s="57">
        <f t="shared" si="2"/>
        <v>2044</v>
      </c>
      <c r="L28" s="65">
        <f>IF(B28&gt;Parameters!$B$28,0,L27*(1-VLOOKUP($B28-1,'Mortality tables'!$A$5:$G$125,6,FALSE)))</f>
        <v>0.78493993780992821</v>
      </c>
      <c r="M28" s="65">
        <f>IF(C28&gt;Parameters!$B$28,0,M27*(1-VLOOKUP($C28-1,'Mortality tables'!$A$5:$G$125,7,FALSE)))</f>
        <v>0.77257834927925251</v>
      </c>
      <c r="N28" s="62">
        <f>IF(L$4+$A28-Parameters!$B$18&lt;Parameters!$C$24,0,Parameters!$D$24*Parameters!$B$27*'Annuity projections'!L28)</f>
        <v>784939.9378099282</v>
      </c>
      <c r="O28" s="62">
        <f>IF(M$4+$A28-Parameters!$B$18&lt;Parameters!$C$25,0,Parameters!$D$25*Parameters!$B$27*'Annuity projections'!M28)</f>
        <v>386289.17463962623</v>
      </c>
      <c r="P28" s="62">
        <f>L28*Parameters!$B$46*(1+Parameters!$B$54)*Parameters!$D$24+Parameters!$B$46*(1+Parameters!$B$54)*Parameters!$D$25*'Annuity projections'!M28</f>
        <v>12883.5202369451</v>
      </c>
      <c r="Q28" s="72">
        <f t="shared" si="3"/>
        <v>1184112.6326864995</v>
      </c>
    </row>
    <row r="29" spans="1:17">
      <c r="A29" s="57">
        <f t="shared" si="0"/>
        <v>2045</v>
      </c>
      <c r="B29" s="30">
        <f>$D$4+$A29-Parameters!$B$18</f>
        <v>78</v>
      </c>
      <c r="C29" s="30">
        <f>$E$4+$A29-Parameters!$B$18</f>
        <v>83</v>
      </c>
      <c r="D29" s="65">
        <f>IF(B29&gt;Parameters!$B$28,0,D28*(1-VLOOKUP($B29-1,'Mortality tables'!$A$5:$E$125,2,FALSE)))</f>
        <v>0.72740968942202477</v>
      </c>
      <c r="E29" s="65">
        <f>IF(C29&gt;Parameters!$B$28,0,E28*(1-VLOOKUP($C29-1,'Mortality tables'!$A$5:$E$125,3,FALSE)))</f>
        <v>0.71168507809017034</v>
      </c>
      <c r="F29" s="62">
        <f>IF(D$4+$A29-Parameters!$B$18&lt;Parameters!$C$24,0,Parameters!$D$24*Parameters!$B$27*'Annuity projections'!D29)</f>
        <v>727409.68942202476</v>
      </c>
      <c r="G29" s="62">
        <f>IF(E$4+$A29-Parameters!$B$18&lt;Parameters!$C$25,0,Parameters!$D$25*Parameters!$B$27*'Annuity projections'!E29)</f>
        <v>355842.5390450852</v>
      </c>
      <c r="H29" s="62">
        <f>Parameters!$D$24*'Annuity projections'!D29*Parameters!$B$46+Parameters!$B$46*Parameters!$D$25*'Annuity projections'!E29</f>
        <v>10832.5222846711</v>
      </c>
      <c r="I29" s="63">
        <f t="shared" si="1"/>
        <v>1094084.7507517813</v>
      </c>
      <c r="K29" s="57">
        <f t="shared" si="2"/>
        <v>2045</v>
      </c>
      <c r="L29" s="65">
        <f>IF(B29&gt;Parameters!$B$28,0,L28*(1-VLOOKUP($B29-1,'Mortality tables'!$A$5:$G$125,6,FALSE)))</f>
        <v>0.76326864880792455</v>
      </c>
      <c r="M29" s="65">
        <f>IF(C29&gt;Parameters!$B$28,0,M28*(1-VLOOKUP($C29-1,'Mortality tables'!$A$5:$G$125,7,FALSE)))</f>
        <v>0.74926448420655734</v>
      </c>
      <c r="N29" s="62">
        <f>IF(L$4+$A29-Parameters!$B$18&lt;Parameters!$C$24,0,Parameters!$D$24*Parameters!$B$27*'Annuity projections'!L29)</f>
        <v>763268.64880792459</v>
      </c>
      <c r="O29" s="62">
        <f>IF(M$4+$A29-Parameters!$B$18&lt;Parameters!$C$25,0,Parameters!$D$25*Parameters!$B$27*'Annuity projections'!M29)</f>
        <v>374632.2421032787</v>
      </c>
      <c r="P29" s="62">
        <f>L29*Parameters!$B$46*(1+Parameters!$B$54)*Parameters!$D$24+Parameters!$B$46*(1+Parameters!$B$54)*Parameters!$D$25*'Annuity projections'!M29</f>
        <v>12516.909800023237</v>
      </c>
      <c r="Q29" s="72">
        <f t="shared" si="3"/>
        <v>1150417.8007112266</v>
      </c>
    </row>
    <row r="30" spans="1:17">
      <c r="A30" s="57">
        <f t="shared" si="0"/>
        <v>2046</v>
      </c>
      <c r="B30" s="30">
        <f>$D$4+$A30-Parameters!$B$18</f>
        <v>79</v>
      </c>
      <c r="C30" s="30">
        <f>$E$4+$A30-Parameters!$B$18</f>
        <v>84</v>
      </c>
      <c r="D30" s="65">
        <f>IF(B30&gt;Parameters!$B$28,0,D29*(1-VLOOKUP($B30-1,'Mortality tables'!$A$5:$E$125,2,FALSE)))</f>
        <v>0.70102363034793025</v>
      </c>
      <c r="E30" s="65">
        <f>IF(C30&gt;Parameters!$B$28,0,E29*(1-VLOOKUP($C30-1,'Mortality tables'!$A$5:$E$125,3,FALSE)))</f>
        <v>0.68332869783874561</v>
      </c>
      <c r="F30" s="62">
        <f>IF(D$4+$A30-Parameters!$B$18&lt;Parameters!$C$24,0,Parameters!$D$24*Parameters!$B$27*'Annuity projections'!D30)</f>
        <v>701023.63034793024</v>
      </c>
      <c r="G30" s="62">
        <f>IF(E$4+$A30-Parameters!$B$18&lt;Parameters!$C$25,0,Parameters!$D$25*Parameters!$B$27*'Annuity projections'!E30)</f>
        <v>341664.34891937283</v>
      </c>
      <c r="H30" s="62">
        <f>Parameters!$D$24*'Annuity projections'!D30*Parameters!$B$46+Parameters!$B$46*Parameters!$D$25*'Annuity projections'!E30</f>
        <v>10426.879792673031</v>
      </c>
      <c r="I30" s="63">
        <f t="shared" si="1"/>
        <v>1053114.8590599762</v>
      </c>
      <c r="K30" s="57">
        <f t="shared" si="2"/>
        <v>2046</v>
      </c>
      <c r="L30" s="65">
        <f>IF(B30&gt;Parameters!$B$28,0,L29*(1-VLOOKUP($B30-1,'Mortality tables'!$A$5:$G$125,6,FALSE)))</f>
        <v>0.73973486288609469</v>
      </c>
      <c r="M30" s="65">
        <f>IF(C30&gt;Parameters!$B$28,0,M29*(1-VLOOKUP($C30-1,'Mortality tables'!$A$5:$G$125,7,FALSE)))</f>
        <v>0.72388884421414024</v>
      </c>
      <c r="N30" s="62">
        <f>IF(L$4+$A30-Parameters!$B$18&lt;Parameters!$C$24,0,Parameters!$D$24*Parameters!$B$27*'Annuity projections'!L30)</f>
        <v>739734.86288609472</v>
      </c>
      <c r="O30" s="62">
        <f>IF(M$4+$A30-Parameters!$B$18&lt;Parameters!$C$25,0,Parameters!$D$25*Parameters!$B$27*'Annuity projections'!M30)</f>
        <v>361944.4221070701</v>
      </c>
      <c r="P30" s="62">
        <f>L30*Parameters!$B$46*(1+Parameters!$B$54)*Parameters!$D$24+Parameters!$B$46*(1+Parameters!$B$54)*Parameters!$D$25*'Annuity projections'!M30</f>
        <v>12118.472134924814</v>
      </c>
      <c r="Q30" s="72">
        <f t="shared" si="3"/>
        <v>1113797.7571280894</v>
      </c>
    </row>
    <row r="31" spans="1:17">
      <c r="A31" s="57">
        <f t="shared" si="0"/>
        <v>2047</v>
      </c>
      <c r="B31" s="30">
        <f>$D$4+$A31-Parameters!$B$18</f>
        <v>80</v>
      </c>
      <c r="C31" s="30">
        <f>$E$4+$A31-Parameters!$B$18</f>
        <v>85</v>
      </c>
      <c r="D31" s="65">
        <f>IF(B31&gt;Parameters!$B$28,0,D30*(1-VLOOKUP($B31-1,'Mortality tables'!$A$5:$E$125,2,FALSE)))</f>
        <v>0.67256347300306496</v>
      </c>
      <c r="E31" s="65">
        <f>IF(C31&gt;Parameters!$B$28,0,E30*(1-VLOOKUP($C31-1,'Mortality tables'!$A$5:$E$125,3,FALSE)))</f>
        <v>0.65274427198087903</v>
      </c>
      <c r="F31" s="62">
        <f>IF(D$4+$A31-Parameters!$B$18&lt;Parameters!$C$24,0,Parameters!$D$24*Parameters!$B$27*'Annuity projections'!D31)</f>
        <v>672563.47300306498</v>
      </c>
      <c r="G31" s="62">
        <f>IF(E$4+$A31-Parameters!$B$18&lt;Parameters!$C$25,0,Parameters!$D$25*Parameters!$B$27*'Annuity projections'!E31)</f>
        <v>326372.13599043951</v>
      </c>
      <c r="H31" s="62">
        <f>Parameters!$D$24*'Annuity projections'!D31*Parameters!$B$46+Parameters!$B$46*Parameters!$D$25*'Annuity projections'!E31</f>
        <v>9989.356089935045</v>
      </c>
      <c r="I31" s="63">
        <f t="shared" si="1"/>
        <v>1008924.9650834395</v>
      </c>
      <c r="K31" s="57">
        <f t="shared" si="2"/>
        <v>2047</v>
      </c>
      <c r="L31" s="65">
        <f>IF(B31&gt;Parameters!$B$28,0,L30*(1-VLOOKUP($B31-1,'Mortality tables'!$A$5:$G$125,6,FALSE)))</f>
        <v>0.71420787031716249</v>
      </c>
      <c r="M31" s="65">
        <f>IF(C31&gt;Parameters!$B$28,0,M30*(1-VLOOKUP($C31-1,'Mortality tables'!$A$5:$G$125,7,FALSE)))</f>
        <v>0.6963489998582042</v>
      </c>
      <c r="N31" s="62">
        <f>IF(L$4+$A31-Parameters!$B$18&lt;Parameters!$C$24,0,Parameters!$D$24*Parameters!$B$27*'Annuity projections'!L31)</f>
        <v>714207.87031716248</v>
      </c>
      <c r="O31" s="62">
        <f>IF(M$4+$A31-Parameters!$B$18&lt;Parameters!$C$25,0,Parameters!$D$25*Parameters!$B$27*'Annuity projections'!M31)</f>
        <v>348174.49992910208</v>
      </c>
      <c r="P31" s="62">
        <f>L31*Parameters!$B$46*(1+Parameters!$B$54)*Parameters!$D$24+Parameters!$B$46*(1+Parameters!$B$54)*Parameters!$D$25*'Annuity projections'!M31</f>
        <v>11686.206072708912</v>
      </c>
      <c r="Q31" s="72">
        <f t="shared" si="3"/>
        <v>1074068.5763189734</v>
      </c>
    </row>
    <row r="32" spans="1:17">
      <c r="A32" s="57">
        <f t="shared" si="0"/>
        <v>2048</v>
      </c>
      <c r="B32" s="30">
        <f>$D$4+$A32-Parameters!$B$18</f>
        <v>81</v>
      </c>
      <c r="C32" s="30">
        <f>$E$4+$A32-Parameters!$B$18</f>
        <v>86</v>
      </c>
      <c r="D32" s="65">
        <f>IF(B32&gt;Parameters!$B$28,0,D31*(1-VLOOKUP($B32-1,'Mortality tables'!$A$5:$E$125,2,FALSE)))</f>
        <v>0.64193627756945137</v>
      </c>
      <c r="E32" s="65">
        <f>IF(C32&gt;Parameters!$B$28,0,E31*(1-VLOOKUP($C32-1,'Mortality tables'!$A$5:$E$125,3,FALSE)))</f>
        <v>0.61989818021480114</v>
      </c>
      <c r="F32" s="62">
        <f>IF(D$4+$A32-Parameters!$B$18&lt;Parameters!$C$24,0,Parameters!$D$24*Parameters!$B$27*'Annuity projections'!D32)</f>
        <v>641936.27756945137</v>
      </c>
      <c r="G32" s="62">
        <f>IF(E$4+$A32-Parameters!$B$18&lt;Parameters!$C$25,0,Parameters!$D$25*Parameters!$B$27*'Annuity projections'!E32)</f>
        <v>309949.09010740055</v>
      </c>
      <c r="H32" s="62">
        <f>Parameters!$D$24*'Annuity projections'!D32*Parameters!$B$46+Parameters!$B$46*Parameters!$D$25*'Annuity projections'!E32</f>
        <v>9518.8536767685182</v>
      </c>
      <c r="I32" s="63">
        <f t="shared" si="1"/>
        <v>961404.22135362041</v>
      </c>
      <c r="K32" s="57">
        <f t="shared" si="2"/>
        <v>2048</v>
      </c>
      <c r="L32" s="65">
        <f>IF(B32&gt;Parameters!$B$28,0,L31*(1-VLOOKUP($B32-1,'Mortality tables'!$A$5:$G$125,6,FALSE)))</f>
        <v>0.68656281201843494</v>
      </c>
      <c r="M32" s="65">
        <f>IF(C32&gt;Parameters!$B$28,0,M31*(1-VLOOKUP($C32-1,'Mortality tables'!$A$5:$G$125,7,FALSE)))</f>
        <v>0.66656476043626911</v>
      </c>
      <c r="N32" s="62">
        <f>IF(L$4+$A32-Parameters!$B$18&lt;Parameters!$C$24,0,Parameters!$D$24*Parameters!$B$27*'Annuity projections'!L32)</f>
        <v>686562.81201843498</v>
      </c>
      <c r="O32" s="62">
        <f>IF(M$4+$A32-Parameters!$B$18&lt;Parameters!$C$25,0,Parameters!$D$25*Parameters!$B$27*'Annuity projections'!M32)</f>
        <v>333282.38021813455</v>
      </c>
      <c r="P32" s="62">
        <f>L32*Parameters!$B$46*(1+Parameters!$B$54)*Parameters!$D$24+Parameters!$B$46*(1+Parameters!$B$54)*Parameters!$D$25*'Annuity projections'!M32</f>
        <v>11218.297114602266</v>
      </c>
      <c r="Q32" s="72">
        <f t="shared" si="3"/>
        <v>1031063.4893511718</v>
      </c>
    </row>
    <row r="33" spans="1:17">
      <c r="A33" s="57">
        <f t="shared" si="0"/>
        <v>2049</v>
      </c>
      <c r="B33" s="30">
        <f>$D$4+$A33-Parameters!$B$18</f>
        <v>82</v>
      </c>
      <c r="C33" s="30">
        <f>$E$4+$A33-Parameters!$B$18</f>
        <v>87</v>
      </c>
      <c r="D33" s="65">
        <f>IF(B33&gt;Parameters!$B$28,0,D32*(1-VLOOKUP($B33-1,'Mortality tables'!$A$5:$E$125,2,FALSE)))</f>
        <v>0.60907684339322632</v>
      </c>
      <c r="E33" s="65">
        <f>IF(C33&gt;Parameters!$B$28,0,E32*(1-VLOOKUP($C33-1,'Mortality tables'!$A$5:$E$125,3,FALSE)))</f>
        <v>0.58479458606559742</v>
      </c>
      <c r="F33" s="62">
        <f>IF(D$4+$A33-Parameters!$B$18&lt;Parameters!$C$24,0,Parameters!$D$24*Parameters!$B$27*'Annuity projections'!D33)</f>
        <v>609076.84339322627</v>
      </c>
      <c r="G33" s="62">
        <f>IF(E$4+$A33-Parameters!$B$18&lt;Parameters!$C$25,0,Parameters!$D$25*Parameters!$B$27*'Annuity projections'!E33)</f>
        <v>292397.29303279868</v>
      </c>
      <c r="H33" s="62">
        <f>Parameters!$D$24*'Annuity projections'!D33*Parameters!$B$46+Parameters!$B$46*Parameters!$D$25*'Annuity projections'!E33</f>
        <v>9014.7413642602496</v>
      </c>
      <c r="I33" s="63">
        <f t="shared" si="1"/>
        <v>910488.87779028516</v>
      </c>
      <c r="K33" s="57">
        <f t="shared" si="2"/>
        <v>2049</v>
      </c>
      <c r="L33" s="65">
        <f>IF(B33&gt;Parameters!$B$28,0,L32*(1-VLOOKUP($B33-1,'Mortality tables'!$A$5:$G$125,6,FALSE)))</f>
        <v>0.65669060138007518</v>
      </c>
      <c r="M33" s="65">
        <f>IF(C33&gt;Parameters!$B$28,0,M32*(1-VLOOKUP($C33-1,'Mortality tables'!$A$5:$G$125,7,FALSE)))</f>
        <v>0.63448046557038185</v>
      </c>
      <c r="N33" s="62">
        <f>IF(L$4+$A33-Parameters!$B$18&lt;Parameters!$C$24,0,Parameters!$D$24*Parameters!$B$27*'Annuity projections'!L33)</f>
        <v>656690.60138007521</v>
      </c>
      <c r="O33" s="62">
        <f>IF(M$4+$A33-Parameters!$B$18&lt;Parameters!$C$25,0,Parameters!$D$25*Parameters!$B$27*'Annuity projections'!M33)</f>
        <v>317240.23278519092</v>
      </c>
      <c r="P33" s="62">
        <f>L33*Parameters!$B$46*(1+Parameters!$B$54)*Parameters!$D$24+Parameters!$B$46*(1+Parameters!$B$54)*Parameters!$D$25*'Annuity projections'!M33</f>
        <v>10713.239175817929</v>
      </c>
      <c r="Q33" s="72">
        <f t="shared" si="3"/>
        <v>984644.07334108406</v>
      </c>
    </row>
    <row r="34" spans="1:17">
      <c r="A34" s="57">
        <f t="shared" si="0"/>
        <v>2050</v>
      </c>
      <c r="B34" s="30">
        <f>$D$4+$A34-Parameters!$B$18</f>
        <v>83</v>
      </c>
      <c r="C34" s="30">
        <f>$E$4+$A34-Parameters!$B$18</f>
        <v>88</v>
      </c>
      <c r="D34" s="65">
        <f>IF(B34&gt;Parameters!$B$28,0,D33*(1-VLOOKUP($B34-1,'Mortality tables'!$A$5:$E$125,2,FALSE)))</f>
        <v>0.5739605179873899</v>
      </c>
      <c r="E34" s="65">
        <f>IF(C34&gt;Parameters!$B$28,0,E33*(1-VLOOKUP($C34-1,'Mortality tables'!$A$5:$E$125,3,FALSE)))</f>
        <v>0.54747708914499349</v>
      </c>
      <c r="F34" s="62">
        <f>IF(D$4+$A34-Parameters!$B$18&lt;Parameters!$C$24,0,Parameters!$D$24*Parameters!$B$27*'Annuity projections'!D34)</f>
        <v>573960.51798738993</v>
      </c>
      <c r="G34" s="62">
        <f>IF(E$4+$A34-Parameters!$B$18&lt;Parameters!$C$25,0,Parameters!$D$25*Parameters!$B$27*'Annuity projections'!E34)</f>
        <v>273738.54457249673</v>
      </c>
      <c r="H34" s="62">
        <f>Parameters!$D$24*'Annuity projections'!D34*Parameters!$B$46+Parameters!$B$46*Parameters!$D$25*'Annuity projections'!E34</f>
        <v>8476.9906255988662</v>
      </c>
      <c r="I34" s="63">
        <f t="shared" si="1"/>
        <v>856176.05318548542</v>
      </c>
      <c r="K34" s="57">
        <f t="shared" si="2"/>
        <v>2050</v>
      </c>
      <c r="L34" s="65">
        <f>IF(B34&gt;Parameters!$B$28,0,L33*(1-VLOOKUP($B34-1,'Mortality tables'!$A$5:$G$125,6,FALSE)))</f>
        <v>0.62450832925089217</v>
      </c>
      <c r="M34" s="65">
        <f>IF(C34&gt;Parameters!$B$28,0,M33*(1-VLOOKUP($C34-1,'Mortality tables'!$A$5:$G$125,7,FALSE)))</f>
        <v>0.60006557891335544</v>
      </c>
      <c r="N34" s="62">
        <f>IF(L$4+$A34-Parameters!$B$18&lt;Parameters!$C$24,0,Parameters!$D$24*Parameters!$B$27*'Annuity projections'!L34)</f>
        <v>624508.32925089216</v>
      </c>
      <c r="O34" s="62">
        <f>IF(M$4+$A34-Parameters!$B$18&lt;Parameters!$C$25,0,Parameters!$D$25*Parameters!$B$27*'Annuity projections'!M34)</f>
        <v>300032.78945667774</v>
      </c>
      <c r="P34" s="62">
        <f>L34*Parameters!$B$46*(1+Parameters!$B$54)*Parameters!$D$24+Parameters!$B$46*(1+Parameters!$B$54)*Parameters!$D$25*'Annuity projections'!M34</f>
        <v>10169.952305783268</v>
      </c>
      <c r="Q34" s="72">
        <f t="shared" si="3"/>
        <v>934711.07101335318</v>
      </c>
    </row>
    <row r="35" spans="1:17">
      <c r="A35" s="57">
        <f t="shared" si="0"/>
        <v>2051</v>
      </c>
      <c r="B35" s="30">
        <f>$D$4+$A35-Parameters!$B$18</f>
        <v>84</v>
      </c>
      <c r="C35" s="30">
        <f>$E$4+$A35-Parameters!$B$18</f>
        <v>89</v>
      </c>
      <c r="D35" s="65">
        <f>IF(B35&gt;Parameters!$B$28,0,D34*(1-VLOOKUP($B35-1,'Mortality tables'!$A$5:$E$125,2,FALSE)))</f>
        <v>0.53662209045023823</v>
      </c>
      <c r="E35" s="65">
        <f>IF(C35&gt;Parameters!$B$28,0,E34*(1-VLOOKUP($C35-1,'Mortality tables'!$A$5:$E$125,3,FALSE)))</f>
        <v>0.50804778918477111</v>
      </c>
      <c r="F35" s="62">
        <f>IF(D$4+$A35-Parameters!$B$18&lt;Parameters!$C$24,0,Parameters!$D$24*Parameters!$B$27*'Annuity projections'!D35)</f>
        <v>536622.0904502382</v>
      </c>
      <c r="G35" s="62">
        <f>IF(E$4+$A35-Parameters!$B$18&lt;Parameters!$C$25,0,Parameters!$D$25*Parameters!$B$27*'Annuity projections'!E35)</f>
        <v>254023.89459238556</v>
      </c>
      <c r="H35" s="62">
        <f>Parameters!$D$24*'Annuity projections'!D35*Parameters!$B$46+Parameters!$B$46*Parameters!$D$25*'Annuity projections'!E35</f>
        <v>7906.4598504262385</v>
      </c>
      <c r="I35" s="63">
        <f t="shared" si="1"/>
        <v>798552.44489304989</v>
      </c>
      <c r="K35" s="57">
        <f t="shared" si="2"/>
        <v>2051</v>
      </c>
      <c r="L35" s="65">
        <f>IF(B35&gt;Parameters!$B$28,0,L34*(1-VLOOKUP($B35-1,'Mortality tables'!$A$5:$G$125,6,FALSE)))</f>
        <v>0.58997557912746779</v>
      </c>
      <c r="M35" s="65">
        <f>IF(C35&gt;Parameters!$B$28,0,M34*(1-VLOOKUP($C35-1,'Mortality tables'!$A$5:$G$125,7,FALSE)))</f>
        <v>0.56333136436901654</v>
      </c>
      <c r="N35" s="62">
        <f>IF(L$4+$A35-Parameters!$B$18&lt;Parameters!$C$24,0,Parameters!$D$24*Parameters!$B$27*'Annuity projections'!L35)</f>
        <v>589975.57912746782</v>
      </c>
      <c r="O35" s="62">
        <f>IF(M$4+$A35-Parameters!$B$18&lt;Parameters!$C$25,0,Parameters!$D$25*Parameters!$B$27*'Annuity projections'!M35)</f>
        <v>281665.68218450824</v>
      </c>
      <c r="P35" s="62">
        <f>L35*Parameters!$B$46*(1+Parameters!$B$54)*Parameters!$D$24+Parameters!$B$46*(1+Parameters!$B$54)*Parameters!$D$25*'Annuity projections'!M35</f>
        <v>9588.0538744317382</v>
      </c>
      <c r="Q35" s="72">
        <f t="shared" si="3"/>
        <v>881229.31518640777</v>
      </c>
    </row>
    <row r="36" spans="1:17">
      <c r="A36" s="57">
        <f t="shared" si="0"/>
        <v>2052</v>
      </c>
      <c r="B36" s="30">
        <f>$D$4+$A36-Parameters!$B$18</f>
        <v>85</v>
      </c>
      <c r="C36" s="30">
        <f>$E$4+$A36-Parameters!$B$18</f>
        <v>90</v>
      </c>
      <c r="D36" s="65">
        <f>IF(B36&gt;Parameters!$B$28,0,D35*(1-VLOOKUP($B36-1,'Mortality tables'!$A$5:$E$125,2,FALSE)))</f>
        <v>0.49717285409287942</v>
      </c>
      <c r="E36" s="65">
        <f>IF(C36&gt;Parameters!$B$28,0,E35*(1-VLOOKUP($C36-1,'Mortality tables'!$A$5:$E$125,3,FALSE)))</f>
        <v>0.46669574743186587</v>
      </c>
      <c r="F36" s="62">
        <f>IF(D$4+$A36-Parameters!$B$18&lt;Parameters!$C$24,0,Parameters!$D$24*Parameters!$B$27*'Annuity projections'!D36)</f>
        <v>497172.8540928794</v>
      </c>
      <c r="G36" s="62">
        <f>IF(E$4+$A36-Parameters!$B$18&lt;Parameters!$C$25,0,Parameters!$D$25*Parameters!$B$27*'Annuity projections'!E36)</f>
        <v>233347.87371593295</v>
      </c>
      <c r="H36" s="62">
        <f>Parameters!$D$24*'Annuity projections'!D36*Parameters!$B$46+Parameters!$B$46*Parameters!$D$25*'Annuity projections'!E36</f>
        <v>7305.2072780881235</v>
      </c>
      <c r="I36" s="63">
        <f t="shared" si="1"/>
        <v>737825.93508690048</v>
      </c>
      <c r="K36" s="57">
        <f t="shared" si="2"/>
        <v>2052</v>
      </c>
      <c r="L36" s="65">
        <f>IF(B36&gt;Parameters!$B$28,0,L35*(1-VLOOKUP($B36-1,'Mortality tables'!$A$5:$G$125,6,FALSE)))</f>
        <v>0.55310983411208758</v>
      </c>
      <c r="M36" s="65">
        <f>IF(C36&gt;Parameters!$B$28,0,M35*(1-VLOOKUP($C36-1,'Mortality tables'!$A$5:$G$125,7,FALSE)))</f>
        <v>0.52435734025828262</v>
      </c>
      <c r="N36" s="62">
        <f>IF(L$4+$A36-Parameters!$B$18&lt;Parameters!$C$24,0,Parameters!$D$24*Parameters!$B$27*'Annuity projections'!L36)</f>
        <v>553109.83411208761</v>
      </c>
      <c r="O36" s="62">
        <f>IF(M$4+$A36-Parameters!$B$18&lt;Parameters!$C$25,0,Parameters!$D$25*Parameters!$B$27*'Annuity projections'!M36)</f>
        <v>262178.6701291413</v>
      </c>
      <c r="P36" s="62">
        <f>L36*Parameters!$B$46*(1+Parameters!$B$54)*Parameters!$D$24+Parameters!$B$46*(1+Parameters!$B$54)*Parameters!$D$25*'Annuity projections'!M36</f>
        <v>8968.1735466535174</v>
      </c>
      <c r="Q36" s="72">
        <f t="shared" si="3"/>
        <v>824256.67778788239</v>
      </c>
    </row>
    <row r="37" spans="1:17">
      <c r="A37" s="57">
        <f t="shared" si="0"/>
        <v>2053</v>
      </c>
      <c r="B37" s="30">
        <f>$D$4+$A37-Parameters!$B$18</f>
        <v>86</v>
      </c>
      <c r="C37" s="30">
        <f>$E$4+$A37-Parameters!$B$18</f>
        <v>91</v>
      </c>
      <c r="D37" s="65">
        <f>IF(B37&gt;Parameters!$B$28,0,D36*(1-VLOOKUP($B37-1,'Mortality tables'!$A$5:$E$125,2,FALSE)))</f>
        <v>0.45582149629941238</v>
      </c>
      <c r="E37" s="65">
        <f>IF(C37&gt;Parameters!$B$28,0,E36*(1-VLOOKUP($C37-1,'Mortality tables'!$A$5:$E$125,3,FALSE)))</f>
        <v>0.42372240300833969</v>
      </c>
      <c r="F37" s="62">
        <f>IF(D$4+$A37-Parameters!$B$18&lt;Parameters!$C$24,0,Parameters!$D$24*Parameters!$B$27*'Annuity projections'!D37)</f>
        <v>455821.49629941239</v>
      </c>
      <c r="G37" s="62">
        <f>IF(E$4+$A37-Parameters!$B$18&lt;Parameters!$C$25,0,Parameters!$D$25*Parameters!$B$27*'Annuity projections'!E37)</f>
        <v>211861.20150416985</v>
      </c>
      <c r="H37" s="62">
        <f>Parameters!$D$24*'Annuity projections'!D37*Parameters!$B$46+Parameters!$B$46*Parameters!$D$25*'Annuity projections'!E37</f>
        <v>6676.8269780358223</v>
      </c>
      <c r="I37" s="63">
        <f t="shared" si="1"/>
        <v>674359.52478161815</v>
      </c>
      <c r="K37" s="57">
        <f t="shared" si="2"/>
        <v>2053</v>
      </c>
      <c r="L37" s="65">
        <f>IF(B37&gt;Parameters!$B$28,0,L36*(1-VLOOKUP($B37-1,'Mortality tables'!$A$5:$G$125,6,FALSE)))</f>
        <v>0.51400660051437363</v>
      </c>
      <c r="M37" s="65">
        <f>IF(C37&gt;Parameters!$B$28,0,M36*(1-VLOOKUP($C37-1,'Mortality tables'!$A$5:$G$125,7,FALSE)))</f>
        <v>0.48331693995094738</v>
      </c>
      <c r="N37" s="62">
        <f>IF(L$4+$A37-Parameters!$B$18&lt;Parameters!$C$24,0,Parameters!$D$24*Parameters!$B$27*'Annuity projections'!L37)</f>
        <v>514006.60051437363</v>
      </c>
      <c r="O37" s="62">
        <f>IF(M$4+$A37-Parameters!$B$18&lt;Parameters!$C$25,0,Parameters!$D$25*Parameters!$B$27*'Annuity projections'!M37)</f>
        <v>241658.46997547368</v>
      </c>
      <c r="P37" s="62">
        <f>L37*Parameters!$B$46*(1+Parameters!$B$54)*Parameters!$D$24+Parameters!$B$46*(1+Parameters!$B$54)*Parameters!$D$25*'Annuity projections'!M37</f>
        <v>8312.3157753883206</v>
      </c>
      <c r="Q37" s="72">
        <f t="shared" si="3"/>
        <v>763977.3862652356</v>
      </c>
    </row>
    <row r="38" spans="1:17">
      <c r="A38" s="57">
        <f t="shared" si="0"/>
        <v>2054</v>
      </c>
      <c r="B38" s="30">
        <f>$D$4+$A38-Parameters!$B$18</f>
        <v>87</v>
      </c>
      <c r="C38" s="30">
        <f>$E$4+$A38-Parameters!$B$18</f>
        <v>92</v>
      </c>
      <c r="D38" s="65">
        <f>IF(B38&gt;Parameters!$B$28,0,D37*(1-VLOOKUP($B38-1,'Mortality tables'!$A$5:$E$125,2,FALSE)))</f>
        <v>0.41288447881249662</v>
      </c>
      <c r="E38" s="65">
        <f>IF(C38&gt;Parameters!$B$28,0,E37*(1-VLOOKUP($C38-1,'Mortality tables'!$A$5:$E$125,3,FALSE)))</f>
        <v>0.37964129025617305</v>
      </c>
      <c r="F38" s="62">
        <f>IF(D$4+$A38-Parameters!$B$18&lt;Parameters!$C$24,0,Parameters!$D$24*Parameters!$B$27*'Annuity projections'!D38)</f>
        <v>412884.47881249664</v>
      </c>
      <c r="G38" s="62">
        <f>IF(E$4+$A38-Parameters!$B$18&lt;Parameters!$C$25,0,Parameters!$D$25*Parameters!$B$27*'Annuity projections'!E38)</f>
        <v>189820.64512808653</v>
      </c>
      <c r="H38" s="62">
        <f>Parameters!$D$24*'Annuity projections'!D38*Parameters!$B$46+Parameters!$B$46*Parameters!$D$25*'Annuity projections'!E38</f>
        <v>6027.0512394058314</v>
      </c>
      <c r="I38" s="63">
        <f t="shared" ref="I38:I69" si="4">SUM(F38:H38)</f>
        <v>608732.17517998908</v>
      </c>
      <c r="K38" s="57">
        <f t="shared" si="2"/>
        <v>2054</v>
      </c>
      <c r="L38" s="65">
        <f>IF(B38&gt;Parameters!$B$28,0,L37*(1-VLOOKUP($B38-1,'Mortality tables'!$A$5:$G$125,6,FALSE)))</f>
        <v>0.47285140272801901</v>
      </c>
      <c r="M38" s="65">
        <f>IF(C38&gt;Parameters!$B$28,0,M37*(1-VLOOKUP($C38-1,'Mortality tables'!$A$5:$G$125,7,FALSE)))</f>
        <v>0.44057816541911804</v>
      </c>
      <c r="N38" s="62">
        <f>IF(L$4+$A38-Parameters!$B$18&lt;Parameters!$C$24,0,Parameters!$D$24*Parameters!$B$27*'Annuity projections'!L38)</f>
        <v>472851.40272801899</v>
      </c>
      <c r="O38" s="62">
        <f>IF(M$4+$A38-Parameters!$B$18&lt;Parameters!$C$25,0,Parameters!$D$25*Parameters!$B$27*'Annuity projections'!M38)</f>
        <v>220289.08270955901</v>
      </c>
      <c r="P38" s="62">
        <f>L38*Parameters!$B$46*(1+Parameters!$B$54)*Parameters!$D$24+Parameters!$B$46*(1+Parameters!$B$54)*Parameters!$D$25*'Annuity projections'!M38</f>
        <v>7624.5453398133595</v>
      </c>
      <c r="Q38" s="72">
        <f t="shared" si="3"/>
        <v>700765.0307773914</v>
      </c>
    </row>
    <row r="39" spans="1:17">
      <c r="A39" s="57">
        <f t="shared" ref="A39:A71" si="5">A38+1</f>
        <v>2055</v>
      </c>
      <c r="B39" s="30">
        <f>$D$4+$A39-Parameters!$B$18</f>
        <v>88</v>
      </c>
      <c r="C39" s="30">
        <f>$E$4+$A39-Parameters!$B$18</f>
        <v>93</v>
      </c>
      <c r="D39" s="65">
        <f>IF(B39&gt;Parameters!$B$28,0,D38*(1-VLOOKUP($B39-1,'Mortality tables'!$A$5:$E$125,2,FALSE)))</f>
        <v>0.36876694648242375</v>
      </c>
      <c r="E39" s="65">
        <f>IF(C39&gt;Parameters!$B$28,0,E38*(1-VLOOKUP($C39-1,'Mortality tables'!$A$5:$E$125,3,FALSE)))</f>
        <v>0.33508127345364502</v>
      </c>
      <c r="F39" s="62">
        <f>IF(D$4+$A39-Parameters!$B$18&lt;Parameters!$C$24,0,Parameters!$D$24*Parameters!$B$27*'Annuity projections'!D39)</f>
        <v>368766.94648242375</v>
      </c>
      <c r="G39" s="62">
        <f>IF(E$4+$A39-Parameters!$B$18&lt;Parameters!$C$25,0,Parameters!$D$25*Parameters!$B$27*'Annuity projections'!E39)</f>
        <v>167540.6367268225</v>
      </c>
      <c r="H39" s="62">
        <f>Parameters!$D$24*'Annuity projections'!D39*Parameters!$B$46+Parameters!$B$46*Parameters!$D$25*'Annuity projections'!E39</f>
        <v>5363.0758320924624</v>
      </c>
      <c r="I39" s="63">
        <f t="shared" si="4"/>
        <v>541670.65904133872</v>
      </c>
      <c r="K39" s="57">
        <f t="shared" ref="K39:K71" si="6">K38+1</f>
        <v>2055</v>
      </c>
      <c r="L39" s="65">
        <f>IF(B39&gt;Parameters!$B$28,0,L38*(1-VLOOKUP($B39-1,'Mortality tables'!$A$5:$G$125,6,FALSE)))</f>
        <v>0.42990505235636883</v>
      </c>
      <c r="M39" s="65">
        <f>IF(C39&gt;Parameters!$B$28,0,M38*(1-VLOOKUP($C39-1,'Mortality tables'!$A$5:$G$125,7,FALSE)))</f>
        <v>0.3966226070694</v>
      </c>
      <c r="N39" s="62">
        <f>IF(L$4+$A39-Parameters!$B$18&lt;Parameters!$C$24,0,Parameters!$D$24*Parameters!$B$27*'Annuity projections'!L39)</f>
        <v>429905.05235636886</v>
      </c>
      <c r="O39" s="62">
        <f>IF(M$4+$A39-Parameters!$B$18&lt;Parameters!$C$25,0,Parameters!$D$25*Parameters!$B$27*'Annuity projections'!M39)</f>
        <v>198311.30353470001</v>
      </c>
      <c r="P39" s="62">
        <f>L39*Parameters!$B$46*(1+Parameters!$B$54)*Parameters!$D$24+Parameters!$B$46*(1+Parameters!$B$54)*Parameters!$D$25*'Annuity projections'!M39</f>
        <v>6910.3799148017588</v>
      </c>
      <c r="Q39" s="72">
        <f t="shared" si="3"/>
        <v>635126.73580587073</v>
      </c>
    </row>
    <row r="40" spans="1:17">
      <c r="A40" s="57">
        <f t="shared" si="5"/>
        <v>2056</v>
      </c>
      <c r="B40" s="30">
        <f>$D$4+$A40-Parameters!$B$18</f>
        <v>89</v>
      </c>
      <c r="C40" s="30">
        <f>$E$4+$A40-Parameters!$B$18</f>
        <v>94</v>
      </c>
      <c r="D40" s="65">
        <f>IF(B40&gt;Parameters!$B$28,0,D39*(1-VLOOKUP($B40-1,'Mortality tables'!$A$5:$E$125,2,FALSE)))</f>
        <v>0.32396913782373893</v>
      </c>
      <c r="E40" s="65">
        <f>IF(C40&gt;Parameters!$B$28,0,E39*(1-VLOOKUP($C40-1,'Mortality tables'!$A$5:$E$125,3,FALSE)))</f>
        <v>0.29077314158359607</v>
      </c>
      <c r="F40" s="62">
        <f>IF(D$4+$A40-Parameters!$B$18&lt;Parameters!$C$24,0,Parameters!$D$24*Parameters!$B$27*'Annuity projections'!D40)</f>
        <v>323969.13782373891</v>
      </c>
      <c r="G40" s="62">
        <f>IF(E$4+$A40-Parameters!$B$18&lt;Parameters!$C$25,0,Parameters!$D$25*Parameters!$B$27*'Annuity projections'!E40)</f>
        <v>145386.57079179803</v>
      </c>
      <c r="H40" s="62">
        <f>Parameters!$D$24*'Annuity projections'!D40*Parameters!$B$46+Parameters!$B$46*Parameters!$D$25*'Annuity projections'!E40</f>
        <v>4693.5570861553697</v>
      </c>
      <c r="I40" s="63">
        <f t="shared" si="4"/>
        <v>474049.26570169226</v>
      </c>
      <c r="K40" s="57">
        <f t="shared" si="6"/>
        <v>2056</v>
      </c>
      <c r="L40" s="65">
        <f>IF(B40&gt;Parameters!$B$28,0,L39*(1-VLOOKUP($B40-1,'Mortality tables'!$A$5:$G$125,6,FALSE)))</f>
        <v>0.38551391646015493</v>
      </c>
      <c r="M40" s="65">
        <f>IF(C40&gt;Parameters!$B$28,0,M39*(1-VLOOKUP($C40-1,'Mortality tables'!$A$5:$G$125,7,FALSE)))</f>
        <v>0.35204367370731521</v>
      </c>
      <c r="N40" s="62">
        <f>IF(L$4+$A40-Parameters!$B$18&lt;Parameters!$C$24,0,Parameters!$D$24*Parameters!$B$27*'Annuity projections'!L40)</f>
        <v>385513.91646015493</v>
      </c>
      <c r="O40" s="62">
        <f>IF(M$4+$A40-Parameters!$B$18&lt;Parameters!$C$25,0,Parameters!$D$25*Parameters!$B$27*'Annuity projections'!M40)</f>
        <v>176021.83685365762</v>
      </c>
      <c r="P40" s="62">
        <f>L40*Parameters!$B$46*(1+Parameters!$B$54)*Parameters!$D$24+Parameters!$B$46*(1+Parameters!$B$54)*Parameters!$D$25*'Annuity projections'!M40</f>
        <v>6176.8932864519375</v>
      </c>
      <c r="Q40" s="72">
        <f t="shared" si="3"/>
        <v>567712.64660026447</v>
      </c>
    </row>
    <row r="41" spans="1:17">
      <c r="A41" s="57">
        <f t="shared" si="5"/>
        <v>2057</v>
      </c>
      <c r="B41" s="30">
        <f>$D$4+$A41-Parameters!$B$18</f>
        <v>90</v>
      </c>
      <c r="C41" s="30">
        <f>$E$4+$A41-Parameters!$B$18</f>
        <v>95</v>
      </c>
      <c r="D41" s="65">
        <f>IF(B41&gt;Parameters!$B$28,0,D40*(1-VLOOKUP($B41-1,'Mortality tables'!$A$5:$E$125,2,FALSE)))</f>
        <v>0.27909779238946197</v>
      </c>
      <c r="E41" s="65">
        <f>IF(C41&gt;Parameters!$B$28,0,E40*(1-VLOOKUP($C41-1,'Mortality tables'!$A$5:$E$125,3,FALSE)))</f>
        <v>0.24752441682387674</v>
      </c>
      <c r="F41" s="62">
        <f>IF(D$4+$A41-Parameters!$B$18&lt;Parameters!$C$24,0,Parameters!$D$24*Parameters!$B$27*'Annuity projections'!D41)</f>
        <v>279097.79238946195</v>
      </c>
      <c r="G41" s="62">
        <f>IF(E$4+$A41-Parameters!$B$18&lt;Parameters!$C$25,0,Parameters!$D$25*Parameters!$B$27*'Annuity projections'!E41)</f>
        <v>123762.20841193837</v>
      </c>
      <c r="H41" s="62">
        <f>Parameters!$D$24*'Annuity projections'!D41*Parameters!$B$46+Parameters!$B$46*Parameters!$D$25*'Annuity projections'!E41</f>
        <v>4028.6000080140038</v>
      </c>
      <c r="I41" s="63">
        <f t="shared" si="4"/>
        <v>406888.60080941429</v>
      </c>
      <c r="K41" s="57">
        <f t="shared" si="6"/>
        <v>2057</v>
      </c>
      <c r="L41" s="65">
        <f>IF(B41&gt;Parameters!$B$28,0,L40*(1-VLOOKUP($B41-1,'Mortality tables'!$A$5:$G$125,6,FALSE)))</f>
        <v>0.34012765221073821</v>
      </c>
      <c r="M41" s="65">
        <f>IF(C41&gt;Parameters!$B$28,0,M40*(1-VLOOKUP($C41-1,'Mortality tables'!$A$5:$G$125,7,FALSE)))</f>
        <v>0.307536041795541</v>
      </c>
      <c r="N41" s="62">
        <f>IF(L$4+$A41-Parameters!$B$18&lt;Parameters!$C$24,0,Parameters!$D$24*Parameters!$B$27*'Annuity projections'!L41)</f>
        <v>340127.65221073822</v>
      </c>
      <c r="O41" s="62">
        <f>IF(M$4+$A41-Parameters!$B$18&lt;Parameters!$C$25,0,Parameters!$D$25*Parameters!$B$27*'Annuity projections'!M41)</f>
        <v>153768.0208977705</v>
      </c>
      <c r="P41" s="62">
        <f>L41*Parameters!$B$46*(1+Parameters!$B$54)*Parameters!$D$24+Parameters!$B$46*(1+Parameters!$B$54)*Parameters!$D$25*'Annuity projections'!M41</f>
        <v>5432.8524041935962</v>
      </c>
      <c r="Q41" s="72">
        <f t="shared" si="3"/>
        <v>499328.5255127023</v>
      </c>
    </row>
    <row r="42" spans="1:17">
      <c r="A42" s="57">
        <f t="shared" si="5"/>
        <v>2058</v>
      </c>
      <c r="B42" s="30">
        <f>$D$4+$A42-Parameters!$B$18</f>
        <v>91</v>
      </c>
      <c r="C42" s="30">
        <f>$E$4+$A42-Parameters!$B$18</f>
        <v>96</v>
      </c>
      <c r="D42" s="65">
        <f>IF(B42&gt;Parameters!$B$28,0,D41*(1-VLOOKUP($B42-1,'Mortality tables'!$A$5:$E$125,2,FALSE)))</f>
        <v>0.23487000252288109</v>
      </c>
      <c r="E42" s="65">
        <f>IF(C42&gt;Parameters!$B$28,0,E41*(1-VLOOKUP($C42-1,'Mortality tables'!$A$5:$E$125,3,FALSE)))</f>
        <v>0.20618115605503506</v>
      </c>
      <c r="F42" s="62">
        <f>IF(D$4+$A42-Parameters!$B$18&lt;Parameters!$C$24,0,Parameters!$D$24*Parameters!$B$27*'Annuity projections'!D42)</f>
        <v>234870.00252288108</v>
      </c>
      <c r="G42" s="62">
        <f>IF(E$4+$A42-Parameters!$B$18&lt;Parameters!$C$25,0,Parameters!$D$25*Parameters!$B$27*'Annuity projections'!E42)</f>
        <v>103090.57802751753</v>
      </c>
      <c r="H42" s="62">
        <f>Parameters!$D$24*'Annuity projections'!D42*Parameters!$B$46+Parameters!$B$46*Parameters!$D$25*'Annuity projections'!E42</f>
        <v>3379.6058055039862</v>
      </c>
      <c r="I42" s="63">
        <f t="shared" si="4"/>
        <v>341340.18635590258</v>
      </c>
      <c r="K42" s="57">
        <f t="shared" si="6"/>
        <v>2058</v>
      </c>
      <c r="L42" s="65">
        <f>IF(B42&gt;Parameters!$B$28,0,L41*(1-VLOOKUP($B42-1,'Mortality tables'!$A$5:$G$125,6,FALSE)))</f>
        <v>0.29431349484729102</v>
      </c>
      <c r="M42" s="65">
        <f>IF(C42&gt;Parameters!$B$28,0,M41*(1-VLOOKUP($C42-1,'Mortality tables'!$A$5:$G$125,7,FALSE)))</f>
        <v>0.26387424271050475</v>
      </c>
      <c r="N42" s="62">
        <f>IF(L$4+$A42-Parameters!$B$18&lt;Parameters!$C$24,0,Parameters!$D$24*Parameters!$B$27*'Annuity projections'!L42)</f>
        <v>294313.49484729103</v>
      </c>
      <c r="O42" s="62">
        <f>IF(M$4+$A42-Parameters!$B$18&lt;Parameters!$C$25,0,Parameters!$D$25*Parameters!$B$27*'Annuity projections'!M42)</f>
        <v>131937.12135525237</v>
      </c>
      <c r="P42" s="62">
        <f>L42*Parameters!$B$46*(1+Parameters!$B$54)*Parameters!$D$24+Parameters!$B$46*(1+Parameters!$B$54)*Parameters!$D$25*'Annuity projections'!M42</f>
        <v>4688.7567782279775</v>
      </c>
      <c r="Q42" s="72">
        <f t="shared" si="3"/>
        <v>430939.37298077135</v>
      </c>
    </row>
    <row r="43" spans="1:17">
      <c r="A43" s="57">
        <f t="shared" si="5"/>
        <v>2059</v>
      </c>
      <c r="B43" s="30">
        <f>$D$4+$A43-Parameters!$B$18</f>
        <v>92</v>
      </c>
      <c r="C43" s="30">
        <f>$E$4+$A43-Parameters!$B$18</f>
        <v>97</v>
      </c>
      <c r="D43" s="65">
        <f>IF(B43&gt;Parameters!$B$28,0,D42*(1-VLOOKUP($B43-1,'Mortality tables'!$A$5:$E$125,2,FALSE)))</f>
        <v>0.19252857794806619</v>
      </c>
      <c r="E43" s="65">
        <f>IF(C43&gt;Parameters!$B$28,0,E42*(1-VLOOKUP($C43-1,'Mortality tables'!$A$5:$E$125,3,FALSE)))</f>
        <v>0.16757662111991453</v>
      </c>
      <c r="F43" s="62">
        <f>IF(D$4+$A43-Parameters!$B$18&lt;Parameters!$C$24,0,Parameters!$D$24*Parameters!$B$27*'Annuity projections'!D43)</f>
        <v>192528.57794806617</v>
      </c>
      <c r="G43" s="62">
        <f>IF(E$4+$A43-Parameters!$B$18&lt;Parameters!$C$25,0,Parameters!$D$25*Parameters!$B$27*'Annuity projections'!E43)</f>
        <v>83788.310559957259</v>
      </c>
      <c r="H43" s="62">
        <f>Parameters!$D$24*'Annuity projections'!D43*Parameters!$B$46+Parameters!$B$46*Parameters!$D$25*'Annuity projections'!E43</f>
        <v>2763.1688850802348</v>
      </c>
      <c r="I43" s="63">
        <f t="shared" si="4"/>
        <v>279080.05739310372</v>
      </c>
      <c r="K43" s="57">
        <f t="shared" si="6"/>
        <v>2059</v>
      </c>
      <c r="L43" s="65">
        <f>IF(B43&gt;Parameters!$B$28,0,L42*(1-VLOOKUP($B43-1,'Mortality tables'!$A$5:$G$125,6,FALSE)))</f>
        <v>0.24921448418976433</v>
      </c>
      <c r="M43" s="65">
        <f>IF(C43&gt;Parameters!$B$28,0,M42*(1-VLOOKUP($C43-1,'Mortality tables'!$A$5:$G$125,7,FALSE)))</f>
        <v>0.22187849865858228</v>
      </c>
      <c r="N43" s="62">
        <f>IF(L$4+$A43-Parameters!$B$18&lt;Parameters!$C$24,0,Parameters!$D$24*Parameters!$B$27*'Annuity projections'!L43)</f>
        <v>249214.48418976433</v>
      </c>
      <c r="O43" s="62">
        <f>IF(M$4+$A43-Parameters!$B$18&lt;Parameters!$C$25,0,Parameters!$D$25*Parameters!$B$27*'Annuity projections'!M43)</f>
        <v>110939.24932929114</v>
      </c>
      <c r="P43" s="62">
        <f>L43*Parameters!$B$46*(1+Parameters!$B$54)*Parameters!$D$24+Parameters!$B$46*(1+Parameters!$B$54)*Parameters!$D$25*'Annuity projections'!M43</f>
        <v>3961.6910687096101</v>
      </c>
      <c r="Q43" s="72">
        <f t="shared" si="3"/>
        <v>364115.42458776507</v>
      </c>
    </row>
    <row r="44" spans="1:17">
      <c r="A44" s="57">
        <f t="shared" si="5"/>
        <v>2060</v>
      </c>
      <c r="B44" s="30">
        <f>$D$4+$A44-Parameters!$B$18</f>
        <v>93</v>
      </c>
      <c r="C44" s="30">
        <f>$E$4+$A44-Parameters!$B$18</f>
        <v>98</v>
      </c>
      <c r="D44" s="65">
        <f>IF(B44&gt;Parameters!$B$28,0,D43*(1-VLOOKUP($B44-1,'Mortality tables'!$A$5:$E$125,2,FALSE)))</f>
        <v>0.15326429976133757</v>
      </c>
      <c r="E44" s="65">
        <f>IF(C44&gt;Parameters!$B$28,0,E43*(1-VLOOKUP($C44-1,'Mortality tables'!$A$5:$E$125,3,FALSE)))</f>
        <v>0.13246948657191357</v>
      </c>
      <c r="F44" s="62">
        <f>IF(D$4+$A44-Parameters!$B$18&lt;Parameters!$C$24,0,Parameters!$D$24*Parameters!$B$27*'Annuity projections'!D44)</f>
        <v>153264.29976133758</v>
      </c>
      <c r="G44" s="62">
        <f>IF(E$4+$A44-Parameters!$B$18&lt;Parameters!$C$25,0,Parameters!$D$25*Parameters!$B$27*'Annuity projections'!E44)</f>
        <v>66234.743285956778</v>
      </c>
      <c r="H44" s="62">
        <f>Parameters!$D$24*'Annuity projections'!D44*Parameters!$B$46+Parameters!$B$46*Parameters!$D$25*'Annuity projections'!E44</f>
        <v>2194.9904304729439</v>
      </c>
      <c r="I44" s="63">
        <f t="shared" si="4"/>
        <v>221694.03347776731</v>
      </c>
      <c r="K44" s="57">
        <f t="shared" si="6"/>
        <v>2060</v>
      </c>
      <c r="L44" s="65">
        <f>IF(B44&gt;Parameters!$B$28,0,L43*(1-VLOOKUP($B44-1,'Mortality tables'!$A$5:$G$125,6,FALSE)))</f>
        <v>0.20601340256995287</v>
      </c>
      <c r="M44" s="65">
        <f>IF(C44&gt;Parameters!$B$28,0,M43*(1-VLOOKUP($C44-1,'Mortality tables'!$A$5:$G$125,7,FALSE)))</f>
        <v>0.1823676736066791</v>
      </c>
      <c r="N44" s="62">
        <f>IF(L$4+$A44-Parameters!$B$18&lt;Parameters!$C$24,0,Parameters!$D$24*Parameters!$B$27*'Annuity projections'!L44)</f>
        <v>206013.40256995289</v>
      </c>
      <c r="O44" s="62">
        <f>IF(M$4+$A44-Parameters!$B$18&lt;Parameters!$C$25,0,Parameters!$D$25*Parameters!$B$27*'Annuity projections'!M44)</f>
        <v>91183.836803339553</v>
      </c>
      <c r="P44" s="62">
        <f>L44*Parameters!$B$46*(1+Parameters!$B$54)*Parameters!$D$24+Parameters!$B$46*(1+Parameters!$B$54)*Parameters!$D$25*'Annuity projections'!M44</f>
        <v>3269.1696331062167</v>
      </c>
      <c r="Q44" s="72">
        <f t="shared" si="3"/>
        <v>300466.40900639864</v>
      </c>
    </row>
    <row r="45" spans="1:17">
      <c r="A45" s="57">
        <f t="shared" si="5"/>
        <v>2061</v>
      </c>
      <c r="B45" s="30">
        <f>$D$4+$A45-Parameters!$B$18</f>
        <v>94</v>
      </c>
      <c r="C45" s="30">
        <f>$E$4+$A45-Parameters!$B$18</f>
        <v>99</v>
      </c>
      <c r="D45" s="65">
        <f>IF(B45&gt;Parameters!$B$28,0,D44*(1-VLOOKUP($B45-1,'Mortality tables'!$A$5:$E$125,2,FALSE)))</f>
        <v>0.11809918555979651</v>
      </c>
      <c r="E45" s="65">
        <f>IF(C45&gt;Parameters!$B$28,0,E44*(1-VLOOKUP($C45-1,'Mortality tables'!$A$5:$E$125,3,FALSE)))</f>
        <v>0.10147904500533382</v>
      </c>
      <c r="F45" s="62">
        <f>IF(D$4+$A45-Parameters!$B$18&lt;Parameters!$C$24,0,Parameters!$D$24*Parameters!$B$27*'Annuity projections'!D45)</f>
        <v>118099.1855597965</v>
      </c>
      <c r="G45" s="62">
        <f>IF(E$4+$A45-Parameters!$B$18&lt;Parameters!$C$25,0,Parameters!$D$25*Parameters!$B$27*'Annuity projections'!E45)</f>
        <v>50739.522502666907</v>
      </c>
      <c r="H45" s="62">
        <f>Parameters!$D$24*'Annuity projections'!D45*Parameters!$B$46+Parameters!$B$46*Parameters!$D$25*'Annuity projections'!E45</f>
        <v>1688.3870806246341</v>
      </c>
      <c r="I45" s="63">
        <f t="shared" si="4"/>
        <v>170527.09514308805</v>
      </c>
      <c r="K45" s="57">
        <f t="shared" si="6"/>
        <v>2061</v>
      </c>
      <c r="L45" s="65">
        <f>IF(B45&gt;Parameters!$B$28,0,L44*(1-VLOOKUP($B45-1,'Mortality tables'!$A$5:$G$125,6,FALSE)))</f>
        <v>0.16583566963575819</v>
      </c>
      <c r="M45" s="65">
        <f>IF(C45&gt;Parameters!$B$28,0,M44*(1-VLOOKUP($C45-1,'Mortality tables'!$A$5:$G$125,7,FALSE)))</f>
        <v>0.14610342402757431</v>
      </c>
      <c r="N45" s="62">
        <f>IF(L$4+$A45-Parameters!$B$18&lt;Parameters!$C$24,0,Parameters!$D$24*Parameters!$B$27*'Annuity projections'!L45)</f>
        <v>165835.66963575818</v>
      </c>
      <c r="O45" s="62">
        <f>IF(M$4+$A45-Parameters!$B$18&lt;Parameters!$C$25,0,Parameters!$D$25*Parameters!$B$27*'Annuity projections'!M45)</f>
        <v>73051.712013787153</v>
      </c>
      <c r="P45" s="62">
        <f>L45*Parameters!$B$46*(1+Parameters!$B$54)*Parameters!$D$24+Parameters!$B$46*(1+Parameters!$B$54)*Parameters!$D$25*'Annuity projections'!M45</f>
        <v>2627.7611981449991</v>
      </c>
      <c r="Q45" s="72">
        <f t="shared" si="3"/>
        <v>241515.14284769032</v>
      </c>
    </row>
    <row r="46" spans="1:17">
      <c r="A46" s="57">
        <f t="shared" si="5"/>
        <v>2062</v>
      </c>
      <c r="B46" s="30">
        <f>$D$4+$A46-Parameters!$B$18</f>
        <v>95</v>
      </c>
      <c r="C46" s="30">
        <f>$E$4+$A46-Parameters!$B$18</f>
        <v>100</v>
      </c>
      <c r="D46" s="65">
        <f>IF(B46&gt;Parameters!$B$28,0,D45*(1-VLOOKUP($B46-1,'Mortality tables'!$A$5:$E$125,2,FALSE)))</f>
        <v>8.7778754956731028E-2</v>
      </c>
      <c r="E46" s="65">
        <f>IF(C46&gt;Parameters!$B$28,0,E45*(1-VLOOKUP($C46-1,'Mortality tables'!$A$5:$E$125,3,FALSE)))</f>
        <v>7.502426980480334E-2</v>
      </c>
      <c r="F46" s="62">
        <f>IF(D$4+$A46-Parameters!$B$18&lt;Parameters!$C$24,0,Parameters!$D$24*Parameters!$B$27*'Annuity projections'!D46)</f>
        <v>87778.754956731034</v>
      </c>
      <c r="G46" s="62">
        <f>IF(E$4+$A46-Parameters!$B$18&lt;Parameters!$C$25,0,Parameters!$D$25*Parameters!$B$27*'Annuity projections'!E46)</f>
        <v>37512.134902401667</v>
      </c>
      <c r="H46" s="62">
        <f>Parameters!$D$24*'Annuity projections'!D46*Parameters!$B$46+Parameters!$B$46*Parameters!$D$25*'Annuity projections'!E46</f>
        <v>1252.9088985913272</v>
      </c>
      <c r="I46" s="63">
        <f t="shared" si="4"/>
        <v>126543.79875772403</v>
      </c>
      <c r="K46" s="57">
        <f t="shared" si="6"/>
        <v>2062</v>
      </c>
      <c r="L46" s="65">
        <f>IF(B46&gt;Parameters!$B$28,0,L45*(1-VLOOKUP($B46-1,'Mortality tables'!$A$5:$G$125,6,FALSE)))</f>
        <v>0.12964594016777389</v>
      </c>
      <c r="M46" s="65">
        <f>IF(C46&gt;Parameters!$B$28,0,M45*(1-VLOOKUP($C46-1,'Mortality tables'!$A$5:$G$125,7,FALSE)))</f>
        <v>0.11372862928346737</v>
      </c>
      <c r="N46" s="62">
        <f>IF(L$4+$A46-Parameters!$B$18&lt;Parameters!$C$24,0,Parameters!$D$24*Parameters!$B$27*'Annuity projections'!L46)</f>
        <v>129645.94016777389</v>
      </c>
      <c r="O46" s="62">
        <f>IF(M$4+$A46-Parameters!$B$18&lt;Parameters!$C$25,0,Parameters!$D$25*Parameters!$B$27*'Annuity projections'!M46)</f>
        <v>56864.314641733683</v>
      </c>
      <c r="P46" s="62">
        <f>L46*Parameters!$B$46*(1+Parameters!$B$54)*Parameters!$D$24+Parameters!$B$46*(1+Parameters!$B$54)*Parameters!$D$25*'Annuity projections'!M46</f>
        <v>2051.6128029045835</v>
      </c>
      <c r="Q46" s="72">
        <f t="shared" si="3"/>
        <v>188561.86761241217</v>
      </c>
    </row>
    <row r="47" spans="1:17">
      <c r="A47" s="57">
        <f t="shared" si="5"/>
        <v>2063</v>
      </c>
      <c r="B47" s="30">
        <f>$D$4+$A47-Parameters!$B$18</f>
        <v>96</v>
      </c>
      <c r="C47" s="30">
        <f>$E$4+$A47-Parameters!$B$18</f>
        <v>101</v>
      </c>
      <c r="D47" s="65">
        <f>IF(B47&gt;Parameters!$B$28,0,D46*(1-VLOOKUP($B47-1,'Mortality tables'!$A$5:$E$125,2,FALSE)))</f>
        <v>6.2694922382785651E-2</v>
      </c>
      <c r="E47" s="65">
        <f>IF(C47&gt;Parameters!$B$28,0,E46*(1-VLOOKUP($C47-1,'Mortality tables'!$A$5:$E$125,3,FALSE)))</f>
        <v>5.3278485201881096E-2</v>
      </c>
      <c r="F47" s="62">
        <f>IF(D$4+$A47-Parameters!$B$18&lt;Parameters!$C$24,0,Parameters!$D$24*Parameters!$B$27*'Annuity projections'!D47)</f>
        <v>62694.922382785648</v>
      </c>
      <c r="G47" s="62">
        <f>IF(E$4+$A47-Parameters!$B$18&lt;Parameters!$C$25,0,Parameters!$D$25*Parameters!$B$27*'Annuity projections'!E47)</f>
        <v>26639.242600940546</v>
      </c>
      <c r="H47" s="62">
        <f>Parameters!$D$24*'Annuity projections'!D47*Parameters!$B$46+Parameters!$B$46*Parameters!$D$25*'Annuity projections'!E47</f>
        <v>893.34164983726191</v>
      </c>
      <c r="I47" s="63">
        <f t="shared" si="4"/>
        <v>90227.506633563462</v>
      </c>
      <c r="K47" s="57">
        <f t="shared" si="6"/>
        <v>2063</v>
      </c>
      <c r="L47" s="65">
        <f>IF(B47&gt;Parameters!$B$28,0,L46*(1-VLOOKUP($B47-1,'Mortality tables'!$A$5:$G$125,6,FALSE)))</f>
        <v>9.8155239486684004E-2</v>
      </c>
      <c r="M47" s="65">
        <f>IF(C47&gt;Parameters!$B$28,0,M46*(1-VLOOKUP($C47-1,'Mortality tables'!$A$5:$G$125,7,FALSE)))</f>
        <v>8.5709022565326309E-2</v>
      </c>
      <c r="N47" s="62">
        <f>IF(L$4+$A47-Parameters!$B$18&lt;Parameters!$C$24,0,Parameters!$D$24*Parameters!$B$27*'Annuity projections'!L47)</f>
        <v>98155.239486684004</v>
      </c>
      <c r="O47" s="62">
        <f>IF(M$4+$A47-Parameters!$B$18&lt;Parameters!$C$25,0,Parameters!$D$25*Parameters!$B$27*'Annuity projections'!M47)</f>
        <v>42854.511282663152</v>
      </c>
      <c r="P47" s="62">
        <f>L47*Parameters!$B$46*(1+Parameters!$B$54)*Parameters!$D$24+Parameters!$B$46*(1+Parameters!$B$54)*Parameters!$D$25*'Annuity projections'!M47</f>
        <v>1551.1072584628187</v>
      </c>
      <c r="Q47" s="72">
        <f t="shared" si="3"/>
        <v>142560.85802780997</v>
      </c>
    </row>
    <row r="48" spans="1:17">
      <c r="A48" s="57">
        <f t="shared" si="5"/>
        <v>2064</v>
      </c>
      <c r="B48" s="30">
        <f>$D$4+$A48-Parameters!$B$18</f>
        <v>97</v>
      </c>
      <c r="C48" s="30">
        <f>$E$4+$A48-Parameters!$B$18</f>
        <v>102</v>
      </c>
      <c r="D48" s="65">
        <f>IF(B48&gt;Parameters!$B$28,0,D47*(1-VLOOKUP($B48-1,'Mortality tables'!$A$5:$E$125,2,FALSE)))</f>
        <v>4.285686965257985E-2</v>
      </c>
      <c r="E48" s="65">
        <f>IF(C48&gt;Parameters!$B$28,0,E47*(1-VLOOKUP($C48-1,'Mortality tables'!$A$5:$E$125,3,FALSE)))</f>
        <v>3.614907926007991E-2</v>
      </c>
      <c r="F48" s="62">
        <f>IF(D$4+$A48-Parameters!$B$18&lt;Parameters!$C$24,0,Parameters!$D$24*Parameters!$B$27*'Annuity projections'!D48)</f>
        <v>42856.869652579851</v>
      </c>
      <c r="G48" s="62">
        <f>IF(E$4+$A48-Parameters!$B$18&lt;Parameters!$C$25,0,Parameters!$D$25*Parameters!$B$27*'Annuity projections'!E48)</f>
        <v>18074.539630039955</v>
      </c>
      <c r="H48" s="62">
        <f>Parameters!$D$24*'Annuity projections'!D48*Parameters!$B$46+Parameters!$B$46*Parameters!$D$25*'Annuity projections'!E48</f>
        <v>609.31409282619802</v>
      </c>
      <c r="I48" s="63">
        <f t="shared" si="4"/>
        <v>61540.723375446003</v>
      </c>
      <c r="K48" s="57">
        <f t="shared" si="6"/>
        <v>2064</v>
      </c>
      <c r="L48" s="65">
        <f>IF(B48&gt;Parameters!$B$28,0,L47*(1-VLOOKUP($B48-1,'Mortality tables'!$A$5:$G$125,6,FALSE)))</f>
        <v>7.175553387615681E-2</v>
      </c>
      <c r="M48" s="65">
        <f>IF(C48&gt;Parameters!$B$28,0,M47*(1-VLOOKUP($C48-1,'Mortality tables'!$A$5:$G$125,7,FALSE)))</f>
        <v>6.22863794551025E-2</v>
      </c>
      <c r="N48" s="62">
        <f>IF(L$4+$A48-Parameters!$B$18&lt;Parameters!$C$24,0,Parameters!$D$24*Parameters!$B$27*'Annuity projections'!L48)</f>
        <v>71755.533876156813</v>
      </c>
      <c r="O48" s="62">
        <f>IF(M$4+$A48-Parameters!$B$18&lt;Parameters!$C$25,0,Parameters!$D$25*Parameters!$B$27*'Annuity projections'!M48)</f>
        <v>31143.189727551249</v>
      </c>
      <c r="P48" s="62">
        <f>L48*Parameters!$B$46*(1+Parameters!$B$54)*Parameters!$D$24+Parameters!$B$46*(1+Parameters!$B$54)*Parameters!$D$25*'Annuity projections'!M48</f>
        <v>1131.8859596407888</v>
      </c>
      <c r="Q48" s="72">
        <f t="shared" si="3"/>
        <v>104030.60956334884</v>
      </c>
    </row>
    <row r="49" spans="1:17">
      <c r="A49" s="57">
        <f t="shared" si="5"/>
        <v>2065</v>
      </c>
      <c r="B49" s="30">
        <f>$D$4+$A49-Parameters!$B$18</f>
        <v>98</v>
      </c>
      <c r="C49" s="30">
        <f>$E$4+$A49-Parameters!$B$18</f>
        <v>103</v>
      </c>
      <c r="D49" s="65">
        <f>IF(B49&gt;Parameters!$B$28,0,D48*(1-VLOOKUP($B49-1,'Mortality tables'!$A$5:$E$125,2,FALSE)))</f>
        <v>2.7916922034820865E-2</v>
      </c>
      <c r="E49" s="65">
        <f>IF(C49&gt;Parameters!$B$28,0,E48*(1-VLOOKUP($C49-1,'Mortality tables'!$A$5:$E$125,3,FALSE)))</f>
        <v>2.3289731145812422E-2</v>
      </c>
      <c r="F49" s="62">
        <f>IF(D$4+$A49-Parameters!$B$18&lt;Parameters!$C$24,0,Parameters!$D$24*Parameters!$B$27*'Annuity projections'!D49)</f>
        <v>27916.922034820866</v>
      </c>
      <c r="G49" s="62">
        <f>IF(E$4+$A49-Parameters!$B$18&lt;Parameters!$C$25,0,Parameters!$D$25*Parameters!$B$27*'Annuity projections'!E49)</f>
        <v>11644.86557290621</v>
      </c>
      <c r="H49" s="62">
        <f>Parameters!$D$24*'Annuity projections'!D49*Parameters!$B$46+Parameters!$B$46*Parameters!$D$25*'Annuity projections'!E49</f>
        <v>395.61787607727075</v>
      </c>
      <c r="I49" s="63">
        <f t="shared" si="4"/>
        <v>39957.405483804345</v>
      </c>
      <c r="K49" s="57">
        <f t="shared" si="6"/>
        <v>2065</v>
      </c>
      <c r="L49" s="65">
        <f>IF(B49&gt;Parameters!$B$28,0,L48*(1-VLOOKUP($B49-1,'Mortality tables'!$A$5:$G$125,6,FALSE)))</f>
        <v>5.049359064110899E-2</v>
      </c>
      <c r="M49" s="65">
        <f>IF(C49&gt;Parameters!$B$28,0,M48*(1-VLOOKUP($C49-1,'Mortality tables'!$A$5:$G$125,7,FALSE)))</f>
        <v>4.345276281265089E-2</v>
      </c>
      <c r="N49" s="62">
        <f>IF(L$4+$A49-Parameters!$B$18&lt;Parameters!$C$24,0,Parameters!$D$24*Parameters!$B$27*'Annuity projections'!L49)</f>
        <v>50493.590641108989</v>
      </c>
      <c r="O49" s="62">
        <f>IF(M$4+$A49-Parameters!$B$18&lt;Parameters!$C$25,0,Parameters!$D$25*Parameters!$B$27*'Annuity projections'!M49)</f>
        <v>21726.381406325447</v>
      </c>
      <c r="P49" s="62">
        <f>L49*Parameters!$B$46*(1+Parameters!$B$54)*Parameters!$D$24+Parameters!$B$46*(1+Parameters!$B$54)*Parameters!$D$25*'Annuity projections'!M49</f>
        <v>794.41969252177887</v>
      </c>
      <c r="Q49" s="72">
        <f t="shared" si="3"/>
        <v>73014.39173995622</v>
      </c>
    </row>
    <row r="50" spans="1:17">
      <c r="A50" s="57">
        <f t="shared" si="5"/>
        <v>2066</v>
      </c>
      <c r="B50" s="30">
        <f>$D$4+$A50-Parameters!$B$18</f>
        <v>99</v>
      </c>
      <c r="C50" s="30">
        <f>$E$4+$A50-Parameters!$B$18</f>
        <v>104</v>
      </c>
      <c r="D50" s="65">
        <f>IF(B50&gt;Parameters!$B$28,0,D49*(1-VLOOKUP($B50-1,'Mortality tables'!$A$5:$E$125,2,FALSE)))</f>
        <v>1.7248079442305584E-2</v>
      </c>
      <c r="E50" s="65">
        <f>IF(C50&gt;Parameters!$B$28,0,E49*(1-VLOOKUP($C50-1,'Mortality tables'!$A$5:$E$125,3,FALSE)))</f>
        <v>1.414704441801886E-2</v>
      </c>
      <c r="F50" s="62">
        <f>IF(D$4+$A50-Parameters!$B$18&lt;Parameters!$C$24,0,Parameters!$D$24*Parameters!$B$27*'Annuity projections'!D50)</f>
        <v>17248.079442305585</v>
      </c>
      <c r="G50" s="62">
        <f>IF(E$4+$A50-Parameters!$B$18&lt;Parameters!$C$25,0,Parameters!$D$25*Parameters!$B$27*'Annuity projections'!E50)</f>
        <v>7073.5222090094303</v>
      </c>
      <c r="H50" s="62">
        <f>Parameters!$D$24*'Annuity projections'!D50*Parameters!$B$46+Parameters!$B$46*Parameters!$D$25*'Annuity projections'!E50</f>
        <v>243.21601651315012</v>
      </c>
      <c r="I50" s="63">
        <f t="shared" si="4"/>
        <v>24564.817667828167</v>
      </c>
      <c r="K50" s="57">
        <f t="shared" si="6"/>
        <v>2066</v>
      </c>
      <c r="L50" s="65">
        <f>IF(B50&gt;Parameters!$B$28,0,L49*(1-VLOOKUP($B50-1,'Mortality tables'!$A$5:$G$125,6,FALSE)))</f>
        <v>3.4091282953405529E-2</v>
      </c>
      <c r="M50" s="65">
        <f>IF(C50&gt;Parameters!$B$28,0,M49*(1-VLOOKUP($C50-1,'Mortality tables'!$A$5:$G$125,7,FALSE)))</f>
        <v>2.8953507923831622E-2</v>
      </c>
      <c r="N50" s="62">
        <f>IF(L$4+$A50-Parameters!$B$18&lt;Parameters!$C$24,0,Parameters!$D$24*Parameters!$B$27*'Annuity projections'!L50)</f>
        <v>34091.282953405527</v>
      </c>
      <c r="O50" s="62">
        <f>IF(M$4+$A50-Parameters!$B$18&lt;Parameters!$C$25,0,Parameters!$D$25*Parameters!$B$27*'Annuity projections'!M50)</f>
        <v>14476.753961915811</v>
      </c>
      <c r="P50" s="62">
        <f>L50*Parameters!$B$46*(1+Parameters!$B$54)*Parameters!$D$24+Parameters!$B$46*(1+Parameters!$B$54)*Parameters!$D$25*'Annuity projections'!M50</f>
        <v>534.24840606853479</v>
      </c>
      <c r="Q50" s="72">
        <f t="shared" si="3"/>
        <v>49102.285321389878</v>
      </c>
    </row>
    <row r="51" spans="1:17">
      <c r="A51" s="57">
        <f t="shared" si="5"/>
        <v>2067</v>
      </c>
      <c r="B51" s="30">
        <f>$D$4+$A51-Parameters!$B$18</f>
        <v>100</v>
      </c>
      <c r="C51" s="30">
        <f>$E$4+$A51-Parameters!$B$18</f>
        <v>105</v>
      </c>
      <c r="D51" s="65">
        <f>IF(B51&gt;Parameters!$B$28,0,D50*(1-VLOOKUP($B51-1,'Mortality tables'!$A$5:$E$125,2,FALSE)))</f>
        <v>1.00564237265185E-2</v>
      </c>
      <c r="E51" s="65">
        <f>IF(C51&gt;Parameters!$B$28,0,E50*(1-VLOOKUP($C51-1,'Mortality tables'!$A$5:$E$125,3,FALSE)))</f>
        <v>8.0353797589905324E-3</v>
      </c>
      <c r="F51" s="62">
        <f>IF(D$4+$A51-Parameters!$B$18&lt;Parameters!$C$24,0,Parameters!$D$24*Parameters!$B$27*'Annuity projections'!D51)</f>
        <v>10056.4237265185</v>
      </c>
      <c r="G51" s="62">
        <f>IF(E$4+$A51-Parameters!$B$18&lt;Parameters!$C$25,0,Parameters!$D$25*Parameters!$B$27*'Annuity projections'!E51)</f>
        <v>4017.6898794952663</v>
      </c>
      <c r="H51" s="62">
        <f>Parameters!$D$24*'Annuity projections'!D51*Parameters!$B$46+Parameters!$B$46*Parameters!$D$25*'Annuity projections'!E51</f>
        <v>140.74113606013765</v>
      </c>
      <c r="I51" s="63">
        <f t="shared" si="4"/>
        <v>14214.854742073905</v>
      </c>
      <c r="K51" s="57">
        <f t="shared" si="6"/>
        <v>2067</v>
      </c>
      <c r="L51" s="65">
        <f>IF(B51&gt;Parameters!$B$28,0,L50*(1-VLOOKUP($B51-1,'Mortality tables'!$A$5:$G$125,6,FALSE)))</f>
        <v>2.2008960679734419E-2</v>
      </c>
      <c r="M51" s="65">
        <f>IF(C51&gt;Parameters!$B$28,0,M50*(1-VLOOKUP($C51-1,'Mortality tables'!$A$5:$G$125,7,FALSE)))</f>
        <v>1.8321533709383296E-2</v>
      </c>
      <c r="N51" s="62">
        <f>IF(L$4+$A51-Parameters!$B$18&lt;Parameters!$C$24,0,Parameters!$D$24*Parameters!$B$27*'Annuity projections'!L51)</f>
        <v>22008.96067973442</v>
      </c>
      <c r="O51" s="62">
        <f>IF(M$4+$A51-Parameters!$B$18&lt;Parameters!$C$25,0,Parameters!$D$25*Parameters!$B$27*'Annuity projections'!M51)</f>
        <v>9160.7668546916484</v>
      </c>
      <c r="P51" s="62">
        <f>L51*Parameters!$B$46*(1+Parameters!$B$54)*Parameters!$D$24+Parameters!$B$46*(1+Parameters!$B$54)*Parameters!$D$25*'Annuity projections'!M51</f>
        <v>342.86700287868672</v>
      </c>
      <c r="Q51" s="72">
        <f t="shared" si="3"/>
        <v>31512.594537304758</v>
      </c>
    </row>
    <row r="52" spans="1:17">
      <c r="A52" s="57">
        <f t="shared" si="5"/>
        <v>2068</v>
      </c>
      <c r="B52" s="30">
        <f>$D$4+$A52-Parameters!$B$18</f>
        <v>101</v>
      </c>
      <c r="C52" s="30">
        <f>$E$4+$A52-Parameters!$B$18</f>
        <v>106</v>
      </c>
      <c r="D52" s="65">
        <f>IF(B52&gt;Parameters!$B$28,0,D51*(1-VLOOKUP($B52-1,'Mortality tables'!$A$5:$E$125,2,FALSE)))</f>
        <v>5.5028348374560176E-3</v>
      </c>
      <c r="E52" s="65">
        <f>IF(C52&gt;Parameters!$B$28,0,E51*(1-VLOOKUP($C52-1,'Mortality tables'!$A$5:$E$125,3,FALSE)))</f>
        <v>4.2262722672791421E-3</v>
      </c>
      <c r="F52" s="62">
        <f>IF(D$4+$A52-Parameters!$B$18&lt;Parameters!$C$24,0,Parameters!$D$24*Parameters!$B$27*'Annuity projections'!D52)</f>
        <v>5502.8348374560173</v>
      </c>
      <c r="G52" s="62">
        <f>IF(E$4+$A52-Parameters!$B$18&lt;Parameters!$C$25,0,Parameters!$D$25*Parameters!$B$27*'Annuity projections'!E52)</f>
        <v>2113.1361336395712</v>
      </c>
      <c r="H52" s="62">
        <f>Parameters!$D$24*'Annuity projections'!D52*Parameters!$B$46+Parameters!$B$46*Parameters!$D$25*'Annuity projections'!E52</f>
        <v>76.15970971095588</v>
      </c>
      <c r="I52" s="63">
        <f t="shared" si="4"/>
        <v>7692.1306808065447</v>
      </c>
      <c r="K52" s="57">
        <f t="shared" si="6"/>
        <v>2068</v>
      </c>
      <c r="L52" s="65">
        <f>IF(B52&gt;Parameters!$B$28,0,L51*(1-VLOOKUP($B52-1,'Mortality tables'!$A$5:$G$125,6,FALSE)))</f>
        <v>1.3538077062851926E-2</v>
      </c>
      <c r="M52" s="65">
        <f>IF(C52&gt;Parameters!$B$28,0,M51*(1-VLOOKUP($C52-1,'Mortality tables'!$A$5:$G$125,7,FALSE)))</f>
        <v>1.0939133699119341E-2</v>
      </c>
      <c r="N52" s="62">
        <f>IF(L$4+$A52-Parameters!$B$18&lt;Parameters!$C$24,0,Parameters!$D$24*Parameters!$B$27*'Annuity projections'!L52)</f>
        <v>13538.077062851926</v>
      </c>
      <c r="O52" s="62">
        <f>IF(M$4+$A52-Parameters!$B$18&lt;Parameters!$C$25,0,Parameters!$D$25*Parameters!$B$27*'Annuity projections'!M52)</f>
        <v>5469.5668495596701</v>
      </c>
      <c r="P52" s="62">
        <f>L52*Parameters!$B$46*(1+Parameters!$B$54)*Parameters!$D$24+Parameters!$B$46*(1+Parameters!$B$54)*Parameters!$D$25*'Annuity projections'!M52</f>
        <v>209.08408303652755</v>
      </c>
      <c r="Q52" s="72">
        <f t="shared" si="3"/>
        <v>19216.727995448124</v>
      </c>
    </row>
    <row r="53" spans="1:17">
      <c r="A53" s="57">
        <f t="shared" si="5"/>
        <v>2069</v>
      </c>
      <c r="B53" s="30">
        <f>$D$4+$A53-Parameters!$B$18</f>
        <v>102</v>
      </c>
      <c r="C53" s="30">
        <f>$E$4+$A53-Parameters!$B$18</f>
        <v>107</v>
      </c>
      <c r="D53" s="65">
        <f>IF(B53&gt;Parameters!$B$28,0,D52*(1-VLOOKUP($B53-1,'Mortality tables'!$A$5:$E$125,2,FALSE)))</f>
        <v>2.8090210938064978E-3</v>
      </c>
      <c r="E53" s="65">
        <f>IF(C53&gt;Parameters!$B$28,0,E52*(1-VLOOKUP($C53-1,'Mortality tables'!$A$5:$E$125,3,FALSE)))</f>
        <v>2.0345697321908517E-3</v>
      </c>
      <c r="F53" s="62">
        <f>IF(D$4+$A53-Parameters!$B$18&lt;Parameters!$C$24,0,Parameters!$D$24*Parameters!$B$27*'Annuity projections'!D53)</f>
        <v>2809.0210938064979</v>
      </c>
      <c r="G53" s="62">
        <f>IF(E$4+$A53-Parameters!$B$18&lt;Parameters!$C$25,0,Parameters!$D$25*Parameters!$B$27*'Annuity projections'!E53)</f>
        <v>1017.2848660954259</v>
      </c>
      <c r="H53" s="62">
        <f>Parameters!$D$24*'Annuity projections'!D53*Parameters!$B$46+Parameters!$B$46*Parameters!$D$25*'Annuity projections'!E53</f>
        <v>38.263059599019236</v>
      </c>
      <c r="I53" s="63">
        <f t="shared" si="4"/>
        <v>3864.5690195009429</v>
      </c>
      <c r="K53" s="57">
        <f t="shared" si="6"/>
        <v>2069</v>
      </c>
      <c r="L53" s="65">
        <f>IF(B53&gt;Parameters!$B$28,0,L52*(1-VLOOKUP($B53-1,'Mortality tables'!$A$5:$G$125,6,FALSE)))</f>
        <v>7.9048534132297003E-3</v>
      </c>
      <c r="M53" s="65">
        <f>IF(C53&gt;Parameters!$B$28,0,M52*(1-VLOOKUP($C53-1,'Mortality tables'!$A$5:$G$125,7,FALSE)))</f>
        <v>6.1171471558469871E-3</v>
      </c>
      <c r="N53" s="62">
        <f>IF(L$4+$A53-Parameters!$B$18&lt;Parameters!$C$24,0,Parameters!$D$24*Parameters!$B$27*'Annuity projections'!L53)</f>
        <v>7904.8534132297</v>
      </c>
      <c r="O53" s="62">
        <f>IF(M$4+$A53-Parameters!$B$18&lt;Parameters!$C$25,0,Parameters!$D$25*Parameters!$B$27*'Annuity projections'!M53)</f>
        <v>3058.5735779234938</v>
      </c>
      <c r="P53" s="62">
        <f>L53*Parameters!$B$46*(1+Parameters!$B$54)*Parameters!$D$24+Parameters!$B$46*(1+Parameters!$B$54)*Parameters!$D$25*'Annuity projections'!M53</f>
        <v>120.59769690268513</v>
      </c>
      <c r="Q53" s="72">
        <f t="shared" si="3"/>
        <v>11084.024688055879</v>
      </c>
    </row>
    <row r="54" spans="1:17">
      <c r="A54" s="57">
        <f t="shared" si="5"/>
        <v>2070</v>
      </c>
      <c r="B54" s="30">
        <f>$D$4+$A54-Parameters!$B$18</f>
        <v>103</v>
      </c>
      <c r="C54" s="30">
        <f>$E$4+$A54-Parameters!$B$18</f>
        <v>108</v>
      </c>
      <c r="D54" s="65">
        <f>IF(B54&gt;Parameters!$B$28,0,D53*(1-VLOOKUP($B54-1,'Mortality tables'!$A$5:$E$125,2,FALSE)))</f>
        <v>1.3288018103829763E-3</v>
      </c>
      <c r="E54" s="65">
        <f>IF(C54&gt;Parameters!$B$28,0,E53*(1-VLOOKUP($C54-1,'Mortality tables'!$A$5:$E$125,3,FALSE)))</f>
        <v>8.8393713127790533E-4</v>
      </c>
      <c r="F54" s="62">
        <f>IF(D$4+$A54-Parameters!$B$18&lt;Parameters!$C$24,0,Parameters!$D$24*Parameters!$B$27*'Annuity projections'!D54)</f>
        <v>1328.8018103829763</v>
      </c>
      <c r="G54" s="62">
        <f>IF(E$4+$A54-Parameters!$B$18&lt;Parameters!$C$25,0,Parameters!$D$25*Parameters!$B$27*'Annuity projections'!E54)</f>
        <v>441.96856563895267</v>
      </c>
      <c r="H54" s="62">
        <f>Parameters!$D$24*'Annuity projections'!D54*Parameters!$B$46+Parameters!$B$46*Parameters!$D$25*'Annuity projections'!E54</f>
        <v>17.707703760219289</v>
      </c>
      <c r="I54" s="63">
        <f t="shared" si="4"/>
        <v>1788.4780797821484</v>
      </c>
      <c r="K54" s="57">
        <f t="shared" si="6"/>
        <v>2070</v>
      </c>
      <c r="L54" s="65">
        <f>IF(B54&gt;Parameters!$B$28,0,L53*(1-VLOOKUP($B54-1,'Mortality tables'!$A$5:$G$125,6,FALSE)))</f>
        <v>4.3641968447927157E-3</v>
      </c>
      <c r="M54" s="65">
        <f>IF(C54&gt;Parameters!$B$28,0,M53*(1-VLOOKUP($C54-1,'Mortality tables'!$A$5:$G$125,7,FALSE)))</f>
        <v>3.1765742641318554E-3</v>
      </c>
      <c r="N54" s="62">
        <f>IF(L$4+$A54-Parameters!$B$18&lt;Parameters!$C$24,0,Parameters!$D$24*Parameters!$B$27*'Annuity projections'!L54)</f>
        <v>4364.1968447927156</v>
      </c>
      <c r="O54" s="62">
        <f>IF(M$4+$A54-Parameters!$B$18&lt;Parameters!$C$25,0,Parameters!$D$25*Parameters!$B$27*'Annuity projections'!M54)</f>
        <v>1588.2871320659276</v>
      </c>
      <c r="P54" s="62">
        <f>L54*Parameters!$B$46*(1+Parameters!$B$54)*Parameters!$D$24+Parameters!$B$46*(1+Parameters!$B$54)*Parameters!$D$25*'Annuity projections'!M54</f>
        <v>65.477323745445091</v>
      </c>
      <c r="Q54" s="72">
        <f t="shared" si="3"/>
        <v>6017.9613006040881</v>
      </c>
    </row>
    <row r="55" spans="1:17">
      <c r="A55" s="57">
        <f t="shared" si="5"/>
        <v>2071</v>
      </c>
      <c r="B55" s="30">
        <f>$D$4+$A55-Parameters!$B$18</f>
        <v>104</v>
      </c>
      <c r="C55" s="30">
        <f>$E$4+$A55-Parameters!$B$18</f>
        <v>109</v>
      </c>
      <c r="D55" s="65">
        <f>IF(B55&gt;Parameters!$B$28,0,D54*(1-VLOOKUP($B55-1,'Mortality tables'!$A$5:$E$125,2,FALSE)))</f>
        <v>5.7819621654470296E-4</v>
      </c>
      <c r="E55" s="65">
        <f>IF(C55&gt;Parameters!$B$28,0,E54*(1-VLOOKUP($C55-1,'Mortality tables'!$A$5:$E$125,3,FALSE)))</f>
        <v>3.4054915494465096E-4</v>
      </c>
      <c r="F55" s="62">
        <f>IF(D$4+$A55-Parameters!$B$18&lt;Parameters!$C$24,0,Parameters!$D$24*Parameters!$B$27*'Annuity projections'!D55)</f>
        <v>578.19621654470302</v>
      </c>
      <c r="G55" s="62">
        <f>IF(E$4+$A55-Parameters!$B$18&lt;Parameters!$C$25,0,Parameters!$D$25*Parameters!$B$27*'Annuity projections'!E55)</f>
        <v>170.27457747232549</v>
      </c>
      <c r="H55" s="62">
        <f>Parameters!$D$24*'Annuity projections'!D55*Parameters!$B$46+Parameters!$B$46*Parameters!$D$25*'Annuity projections'!E55</f>
        <v>7.484707940170285</v>
      </c>
      <c r="I55" s="63">
        <f t="shared" si="4"/>
        <v>755.95550195719886</v>
      </c>
      <c r="K55" s="57">
        <f t="shared" si="6"/>
        <v>2071</v>
      </c>
      <c r="L55" s="65">
        <f>IF(B55&gt;Parameters!$B$28,0,L54*(1-VLOOKUP($B55-1,'Mortality tables'!$A$5:$G$125,6,FALSE)))</f>
        <v>2.2687587155630915E-3</v>
      </c>
      <c r="M55" s="65">
        <f>IF(C55&gt;Parameters!$B$28,0,M54*(1-VLOOKUP($C55-1,'Mortality tables'!$A$5:$G$125,7,FALSE)))</f>
        <v>1.5167328908217994E-3</v>
      </c>
      <c r="N55" s="62">
        <f>IF(L$4+$A55-Parameters!$B$18&lt;Parameters!$C$24,0,Parameters!$D$24*Parameters!$B$27*'Annuity projections'!L55)</f>
        <v>2268.7587155630913</v>
      </c>
      <c r="O55" s="62">
        <f>IF(M$4+$A55-Parameters!$B$18&lt;Parameters!$C$25,0,Parameters!$D$25*Parameters!$B$27*'Annuity projections'!M55)</f>
        <v>758.3664454108997</v>
      </c>
      <c r="P55" s="62">
        <f>L55*Parameters!$B$46*(1+Parameters!$B$54)*Parameters!$D$24+Parameters!$B$46*(1+Parameters!$B$54)*Parameters!$D$25*'Annuity projections'!M55</f>
        <v>33.298376770713901</v>
      </c>
      <c r="Q55" s="72">
        <f t="shared" si="3"/>
        <v>3060.4235377447048</v>
      </c>
    </row>
    <row r="56" spans="1:17">
      <c r="A56" s="57">
        <f t="shared" si="5"/>
        <v>2072</v>
      </c>
      <c r="B56" s="30">
        <f>$D$4+$A56-Parameters!$B$18</f>
        <v>105</v>
      </c>
      <c r="C56" s="30">
        <f>$E$4+$A56-Parameters!$B$18</f>
        <v>110</v>
      </c>
      <c r="D56" s="65">
        <f>IF(B56&gt;Parameters!$B$28,0,D55*(1-VLOOKUP($B56-1,'Mortality tables'!$A$5:$E$125,2,FALSE)))</f>
        <v>2.2948029638442715E-4</v>
      </c>
      <c r="E56" s="65">
        <f>IF(C56&gt;Parameters!$B$28,0,E55*(1-VLOOKUP($C56-1,'Mortality tables'!$A$5:$E$125,3,FALSE)))</f>
        <v>1.1375329367700682E-4</v>
      </c>
      <c r="F56" s="62">
        <f>IF(D$4+$A56-Parameters!$B$18&lt;Parameters!$C$24,0,Parameters!$D$24*Parameters!$B$27*'Annuity projections'!D56)</f>
        <v>229.48029638442716</v>
      </c>
      <c r="G56" s="62">
        <f>IF(E$4+$A56-Parameters!$B$18&lt;Parameters!$C$25,0,Parameters!$D$25*Parameters!$B$27*'Annuity projections'!E56)</f>
        <v>56.876646838503412</v>
      </c>
      <c r="H56" s="62">
        <f>Parameters!$D$24*'Annuity projections'!D56*Parameters!$B$46+Parameters!$B$46*Parameters!$D$25*'Annuity projections'!E56</f>
        <v>2.8635694322293057</v>
      </c>
      <c r="I56" s="63">
        <f t="shared" si="4"/>
        <v>289.22051265515989</v>
      </c>
      <c r="K56" s="57">
        <f t="shared" si="6"/>
        <v>2072</v>
      </c>
      <c r="L56" s="65">
        <f>IF(B56&gt;Parameters!$B$28,0,L55*(1-VLOOKUP($B56-1,'Mortality tables'!$A$5:$G$125,6,FALSE)))</f>
        <v>1.1056943069613237E-3</v>
      </c>
      <c r="M56" s="65">
        <f>IF(C56&gt;Parameters!$B$28,0,M55*(1-VLOOKUP($C56-1,'Mortality tables'!$A$5:$G$125,7,FALSE)))</f>
        <v>6.5814778879333749E-4</v>
      </c>
      <c r="N56" s="62">
        <f>IF(L$4+$A56-Parameters!$B$18&lt;Parameters!$C$24,0,Parameters!$D$24*Parameters!$B$27*'Annuity projections'!L56)</f>
        <v>1105.6943069613237</v>
      </c>
      <c r="O56" s="62">
        <f>IF(M$4+$A56-Parameters!$B$18&lt;Parameters!$C$25,0,Parameters!$D$25*Parameters!$B$27*'Annuity projections'!M56)</f>
        <v>329.07389439666872</v>
      </c>
      <c r="P56" s="62">
        <f>L56*Parameters!$B$46*(1+Parameters!$B$54)*Parameters!$D$24+Parameters!$B$46*(1+Parameters!$B$54)*Parameters!$D$25*'Annuity projections'!M56</f>
        <v>15.782450214937917</v>
      </c>
      <c r="Q56" s="72">
        <f t="shared" si="3"/>
        <v>1450.5506515729303</v>
      </c>
    </row>
    <row r="57" spans="1:17">
      <c r="A57" s="57">
        <f t="shared" si="5"/>
        <v>2073</v>
      </c>
      <c r="B57" s="30">
        <f>$D$4+$A57-Parameters!$B$18</f>
        <v>106</v>
      </c>
      <c r="C57" s="30">
        <f>$E$4+$A57-Parameters!$B$18</f>
        <v>111</v>
      </c>
      <c r="D57" s="65">
        <f>IF(B57&gt;Parameters!$B$28,0,D56*(1-VLOOKUP($B57-1,'Mortality tables'!$A$5:$E$125,2,FALSE)))</f>
        <v>8.2273964300633989E-5</v>
      </c>
      <c r="E57" s="65">
        <f>IF(C57&gt;Parameters!$B$28,0,E56*(1-VLOOKUP($C57-1,'Mortality tables'!$A$5:$E$125,3,FALSE)))</f>
        <v>3.1964675523238917E-5</v>
      </c>
      <c r="F57" s="62">
        <f>IF(D$4+$A57-Parameters!$B$18&lt;Parameters!$C$24,0,Parameters!$D$24*Parameters!$B$27*'Annuity projections'!D57)</f>
        <v>82.273964300633992</v>
      </c>
      <c r="G57" s="62">
        <f>IF(E$4+$A57-Parameters!$B$18&lt;Parameters!$C$25,0,Parameters!$D$25*Parameters!$B$27*'Annuity projections'!E57)</f>
        <v>15.982337761619458</v>
      </c>
      <c r="H57" s="62">
        <f>Parameters!$D$24*'Annuity projections'!D57*Parameters!$B$46+Parameters!$B$46*Parameters!$D$25*'Annuity projections'!E57</f>
        <v>0.98256302062253453</v>
      </c>
      <c r="I57" s="63">
        <f t="shared" si="4"/>
        <v>99.238865082875989</v>
      </c>
      <c r="K57" s="57">
        <f t="shared" si="6"/>
        <v>2073</v>
      </c>
      <c r="L57" s="65">
        <f>IF(B57&gt;Parameters!$B$28,0,L56*(1-VLOOKUP($B57-1,'Mortality tables'!$A$5:$G$125,6,FALSE)))</f>
        <v>5.0280846005668902E-4</v>
      </c>
      <c r="M57" s="65">
        <f>IF(C57&gt;Parameters!$B$28,0,M56*(1-VLOOKUP($C57-1,'Mortality tables'!$A$5:$G$125,7,FALSE)))</f>
        <v>2.5592076767228932E-4</v>
      </c>
      <c r="N57" s="62">
        <f>IF(L$4+$A57-Parameters!$B$18&lt;Parameters!$C$24,0,Parameters!$D$24*Parameters!$B$27*'Annuity projections'!L57)</f>
        <v>502.808460056689</v>
      </c>
      <c r="O57" s="62">
        <f>IF(M$4+$A57-Parameters!$B$18&lt;Parameters!$C$25,0,Parameters!$D$25*Parameters!$B$27*'Annuity projections'!M57)</f>
        <v>127.96038383614466</v>
      </c>
      <c r="P57" s="62">
        <f>L57*Parameters!$B$46*(1+Parameters!$B$54)*Parameters!$D$24+Parameters!$B$46*(1+Parameters!$B$54)*Parameters!$D$25*'Annuity projections'!M57</f>
        <v>6.9384572828211706</v>
      </c>
      <c r="Q57" s="72">
        <f t="shared" si="3"/>
        <v>637.70730117565483</v>
      </c>
    </row>
    <row r="58" spans="1:17">
      <c r="A58" s="57">
        <f t="shared" si="5"/>
        <v>2074</v>
      </c>
      <c r="B58" s="30">
        <f>$D$4+$A58-Parameters!$B$18</f>
        <v>107</v>
      </c>
      <c r="C58" s="30">
        <f>$E$4+$A58-Parameters!$B$18</f>
        <v>112</v>
      </c>
      <c r="D58" s="65">
        <f>IF(B58&gt;Parameters!$B$28,0,D57*(1-VLOOKUP($B58-1,'Mortality tables'!$A$5:$E$125,2,FALSE)))</f>
        <v>2.6344287916991603E-5</v>
      </c>
      <c r="E58" s="65">
        <f>IF(C58&gt;Parameters!$B$28,0,E57*(1-VLOOKUP($C58-1,'Mortality tables'!$A$5:$E$125,3,FALSE)))</f>
        <v>7.238880242370302E-6</v>
      </c>
      <c r="F58" s="62">
        <f>IF(D$4+$A58-Parameters!$B$18&lt;Parameters!$C$24,0,Parameters!$D$24*Parameters!$B$27*'Annuity projections'!D58)</f>
        <v>26.344287916991604</v>
      </c>
      <c r="G58" s="62">
        <f>IF(E$4+$A58-Parameters!$B$18&lt;Parameters!$C$25,0,Parameters!$D$25*Parameters!$B$27*'Annuity projections'!E58)</f>
        <v>3.6194401211851508</v>
      </c>
      <c r="H58" s="62">
        <f>Parameters!$D$24*'Annuity projections'!D58*Parameters!$B$46+Parameters!$B$46*Parameters!$D$25*'Annuity projections'!E58</f>
        <v>0.29963728038176757</v>
      </c>
      <c r="I58" s="63">
        <f t="shared" si="4"/>
        <v>30.26336531855852</v>
      </c>
      <c r="K58" s="57">
        <f t="shared" si="6"/>
        <v>2074</v>
      </c>
      <c r="L58" s="65">
        <f>IF(B58&gt;Parameters!$B$28,0,L57*(1-VLOOKUP($B58-1,'Mortality tables'!$A$5:$G$125,6,FALSE)))</f>
        <v>2.1227150235651453E-4</v>
      </c>
      <c r="M58" s="65">
        <f>IF(C58&gt;Parameters!$B$28,0,M57*(1-VLOOKUP($C58-1,'Mortality tables'!$A$5:$G$125,7,FALSE)))</f>
        <v>8.765164730411266E-5</v>
      </c>
      <c r="N58" s="62">
        <f>IF(L$4+$A58-Parameters!$B$18&lt;Parameters!$C$24,0,Parameters!$D$24*Parameters!$B$27*'Annuity projections'!L58)</f>
        <v>212.27150235651453</v>
      </c>
      <c r="O58" s="62">
        <f>IF(M$4+$A58-Parameters!$B$18&lt;Parameters!$C$25,0,Parameters!$D$25*Parameters!$B$27*'Annuity projections'!M58)</f>
        <v>43.825823652056329</v>
      </c>
      <c r="P58" s="62">
        <f>L58*Parameters!$B$46*(1+Parameters!$B$54)*Parameters!$D$24+Parameters!$B$46*(1+Parameters!$B$54)*Parameters!$D$25*'Annuity projections'!M58</f>
        <v>2.81707058609428</v>
      </c>
      <c r="Q58" s="72">
        <f t="shared" si="3"/>
        <v>258.91439659466516</v>
      </c>
    </row>
    <row r="59" spans="1:17">
      <c r="A59" s="57">
        <f t="shared" si="5"/>
        <v>2075</v>
      </c>
      <c r="B59" s="30">
        <f>$D$4+$A59-Parameters!$B$18</f>
        <v>108</v>
      </c>
      <c r="C59" s="30">
        <f>$E$4+$A59-Parameters!$B$18</f>
        <v>113</v>
      </c>
      <c r="D59" s="65">
        <f>IF(B59&gt;Parameters!$B$28,0,D58*(1-VLOOKUP($B59-1,'Mortality tables'!$A$5:$E$125,2,FALSE)))</f>
        <v>7.4314865227920774E-6</v>
      </c>
      <c r="E59" s="65">
        <f>IF(C59&gt;Parameters!$B$28,0,E58*(1-VLOOKUP($C59-1,'Mortality tables'!$A$5:$E$125,3,FALSE)))</f>
        <v>1.2359808903427898E-6</v>
      </c>
      <c r="F59" s="62">
        <f>IF(D$4+$A59-Parameters!$B$18&lt;Parameters!$C$24,0,Parameters!$D$24*Parameters!$B$27*'Annuity projections'!D59)</f>
        <v>7.4314865227920777</v>
      </c>
      <c r="G59" s="62">
        <f>IF(E$4+$A59-Parameters!$B$18&lt;Parameters!$C$25,0,Parameters!$D$25*Parameters!$B$27*'Annuity projections'!E59)</f>
        <v>0.6179904451713949</v>
      </c>
      <c r="H59" s="62">
        <f>Parameters!$D$24*'Annuity projections'!D59*Parameters!$B$46+Parameters!$B$46*Parameters!$D$25*'Annuity projections'!E59</f>
        <v>8.0494769679634717E-2</v>
      </c>
      <c r="I59" s="63">
        <f t="shared" si="4"/>
        <v>8.1299717376431087</v>
      </c>
      <c r="K59" s="57">
        <f t="shared" si="6"/>
        <v>2075</v>
      </c>
      <c r="L59" s="65">
        <f>IF(B59&gt;Parameters!$B$28,0,L58*(1-VLOOKUP($B59-1,'Mortality tables'!$A$5:$G$125,6,FALSE)))</f>
        <v>8.2738623669040992E-5</v>
      </c>
      <c r="M59" s="65">
        <f>IF(C59&gt;Parameters!$B$28,0,M58*(1-VLOOKUP($C59-1,'Mortality tables'!$A$5:$G$125,7,FALSE)))</f>
        <v>2.5868692025015878E-5</v>
      </c>
      <c r="N59" s="62">
        <f>IF(L$4+$A59-Parameters!$B$18&lt;Parameters!$C$24,0,Parameters!$D$24*Parameters!$B$27*'Annuity projections'!L59)</f>
        <v>82.73862366904099</v>
      </c>
      <c r="O59" s="62">
        <f>IF(M$4+$A59-Parameters!$B$18&lt;Parameters!$C$25,0,Parameters!$D$25*Parameters!$B$27*'Annuity projections'!M59)</f>
        <v>12.934346012507939</v>
      </c>
      <c r="P59" s="62">
        <f>L59*Parameters!$B$46*(1+Parameters!$B$54)*Parameters!$D$24+Parameters!$B$46*(1+Parameters!$B$54)*Parameters!$D$25*'Annuity projections'!M59</f>
        <v>1.0524026664970383</v>
      </c>
      <c r="Q59" s="72">
        <f t="shared" si="3"/>
        <v>96.72537234804598</v>
      </c>
    </row>
    <row r="60" spans="1:17">
      <c r="A60" s="57">
        <f t="shared" si="5"/>
        <v>2076</v>
      </c>
      <c r="B60" s="30">
        <f>$D$4+$A60-Parameters!$B$18</f>
        <v>109</v>
      </c>
      <c r="C60" s="30">
        <f>$E$4+$A60-Parameters!$B$18</f>
        <v>114</v>
      </c>
      <c r="D60" s="65">
        <f>IF(B60&gt;Parameters!$B$28,0,D59*(1-VLOOKUP($B60-1,'Mortality tables'!$A$5:$E$125,2,FALSE)))</f>
        <v>1.8158391429251073E-6</v>
      </c>
      <c r="E60" s="65">
        <f>IF(C60&gt;Parameters!$B$28,0,E59*(1-VLOOKUP($C60-1,'Mortality tables'!$A$5:$E$125,3,FALSE)))</f>
        <v>1.4112429805933967E-7</v>
      </c>
      <c r="F60" s="62">
        <f>IF(D$4+$A60-Parameters!$B$18&lt;Parameters!$C$24,0,Parameters!$D$24*Parameters!$B$27*'Annuity projections'!D60)</f>
        <v>1.8158391429251073</v>
      </c>
      <c r="G60" s="62">
        <f>IF(E$4+$A60-Parameters!$B$18&lt;Parameters!$C$25,0,Parameters!$D$25*Parameters!$B$27*'Annuity projections'!E60)</f>
        <v>7.0562149029669841E-2</v>
      </c>
      <c r="H60" s="62">
        <f>Parameters!$D$24*'Annuity projections'!D60*Parameters!$B$46+Parameters!$B$46*Parameters!$D$25*'Annuity projections'!E60</f>
        <v>1.8864012919547774E-2</v>
      </c>
      <c r="I60" s="63">
        <f t="shared" si="4"/>
        <v>1.9052653048743249</v>
      </c>
      <c r="K60" s="57">
        <f t="shared" si="6"/>
        <v>2076</v>
      </c>
      <c r="L60" s="65">
        <f>IF(B60&gt;Parameters!$B$28,0,L59*(1-VLOOKUP($B60-1,'Mortality tables'!$A$5:$G$125,6,FALSE)))</f>
        <v>2.959497687287608E-5</v>
      </c>
      <c r="M60" s="65">
        <f>IF(C60&gt;Parameters!$B$28,0,M59*(1-VLOOKUP($C60-1,'Mortality tables'!$A$5:$G$125,7,FALSE)))</f>
        <v>6.3909379708562465E-6</v>
      </c>
      <c r="N60" s="62">
        <f>IF(L$4+$A60-Parameters!$B$18&lt;Parameters!$C$24,0,Parameters!$D$24*Parameters!$B$27*'Annuity projections'!L60)</f>
        <v>29.594976872876078</v>
      </c>
      <c r="O60" s="62">
        <f>IF(M$4+$A60-Parameters!$B$18&lt;Parameters!$C$25,0,Parameters!$D$25*Parameters!$B$27*'Annuity projections'!M60)</f>
        <v>3.1954689854281231</v>
      </c>
      <c r="P60" s="62">
        <f>L60*Parameters!$B$46*(1+Parameters!$B$54)*Parameters!$D$24+Parameters!$B$46*(1+Parameters!$B$54)*Parameters!$D$25*'Annuity projections'!M60</f>
        <v>0.36069490444134628</v>
      </c>
      <c r="Q60" s="72">
        <f t="shared" si="3"/>
        <v>33.151140762745548</v>
      </c>
    </row>
    <row r="61" spans="1:17">
      <c r="A61" s="57">
        <f t="shared" si="5"/>
        <v>2077</v>
      </c>
      <c r="B61" s="30">
        <f>$D$4+$A61-Parameters!$B$18</f>
        <v>110</v>
      </c>
      <c r="C61" s="30">
        <f>$E$4+$A61-Parameters!$B$18</f>
        <v>115</v>
      </c>
      <c r="D61" s="65">
        <f>IF(B61&gt;Parameters!$B$28,0,D60*(1-VLOOKUP($B61-1,'Mortality tables'!$A$5:$E$125,2,FALSE)))</f>
        <v>3.7605847066064684E-7</v>
      </c>
      <c r="E61" s="65">
        <f>IF(C61&gt;Parameters!$B$28,0,E60*(1-VLOOKUP($C61-1,'Mortality tables'!$A$5:$E$125,3,FALSE)))</f>
        <v>8.0644068883029028E-9</v>
      </c>
      <c r="F61" s="62">
        <f>IF(D$4+$A61-Parameters!$B$18&lt;Parameters!$C$24,0,Parameters!$D$24*Parameters!$B$27*'Annuity projections'!D61)</f>
        <v>0.37605847066064685</v>
      </c>
      <c r="G61" s="62">
        <f>IF(E$4+$A61-Parameters!$B$18&lt;Parameters!$C$25,0,Parameters!$D$25*Parameters!$B$27*'Annuity projections'!E61)</f>
        <v>4.0322034441514516E-3</v>
      </c>
      <c r="H61" s="62">
        <f>Parameters!$D$24*'Annuity projections'!D61*Parameters!$B$46+Parameters!$B$46*Parameters!$D$25*'Annuity projections'!E61</f>
        <v>3.8009067410479827E-3</v>
      </c>
      <c r="I61" s="63">
        <f t="shared" si="4"/>
        <v>0.38389158084584629</v>
      </c>
      <c r="K61" s="57">
        <f t="shared" si="6"/>
        <v>2077</v>
      </c>
      <c r="L61" s="65">
        <f>IF(B61&gt;Parameters!$B$28,0,L60*(1-VLOOKUP($B61-1,'Mortality tables'!$A$5:$G$125,6,FALSE)))</f>
        <v>9.6489731290178119E-6</v>
      </c>
      <c r="M61" s="65">
        <f>IF(C61&gt;Parameters!$B$28,0,M60*(1-VLOOKUP($C61-1,'Mortality tables'!$A$5:$G$125,7,FALSE)))</f>
        <v>1.2690638911240548E-6</v>
      </c>
      <c r="N61" s="62">
        <f>IF(L$4+$A61-Parameters!$B$18&lt;Parameters!$C$24,0,Parameters!$D$24*Parameters!$B$27*'Annuity projections'!L61)</f>
        <v>9.6489731290178113</v>
      </c>
      <c r="O61" s="62">
        <f>IF(M$4+$A61-Parameters!$B$18&lt;Parameters!$C$25,0,Parameters!$D$25*Parameters!$B$27*'Annuity projections'!M61)</f>
        <v>0.63453194556202741</v>
      </c>
      <c r="P61" s="62">
        <f>L61*Parameters!$B$46*(1+Parameters!$B$54)*Parameters!$D$24+Parameters!$B$46*(1+Parameters!$B$54)*Parameters!$D$25*'Annuity projections'!M61</f>
        <v>0.11311855582037825</v>
      </c>
      <c r="Q61" s="72">
        <f t="shared" si="3"/>
        <v>10.396623630400217</v>
      </c>
    </row>
    <row r="62" spans="1:17">
      <c r="A62" s="57">
        <f t="shared" si="5"/>
        <v>2078</v>
      </c>
      <c r="B62" s="30">
        <f>$D$4+$A62-Parameters!$B$18</f>
        <v>111</v>
      </c>
      <c r="C62" s="30">
        <f>$E$4+$A62-Parameters!$B$18</f>
        <v>116</v>
      </c>
      <c r="D62" s="65">
        <f>IF(B62&gt;Parameters!$B$28,0,D61*(1-VLOOKUP($B62-1,'Mortality tables'!$A$5:$E$125,2,FALSE)))</f>
        <v>6.4110072019756428E-8</v>
      </c>
      <c r="E62" s="65">
        <f>IF(C62&gt;Parameters!$B$28,0,E61*(1-VLOOKUP($C62-1,'Mortality tables'!$A$5:$E$125,3,FALSE)))</f>
        <v>0</v>
      </c>
      <c r="F62" s="62">
        <f>IF(D$4+$A62-Parameters!$B$18&lt;Parameters!$C$24,0,Parameters!$D$24*Parameters!$B$27*'Annuity projections'!D62)</f>
        <v>6.4110072019756423E-2</v>
      </c>
      <c r="G62" s="62">
        <f>IF(E$4+$A62-Parameters!$B$18&lt;Parameters!$C$25,0,Parameters!$D$25*Parameters!$B$27*'Annuity projections'!E62)</f>
        <v>0</v>
      </c>
      <c r="H62" s="62">
        <f>Parameters!$D$24*'Annuity projections'!D62*Parameters!$B$46+Parameters!$B$46*Parameters!$D$25*'Annuity projections'!E62</f>
        <v>6.4110072019756426E-4</v>
      </c>
      <c r="I62" s="63">
        <f t="shared" si="4"/>
        <v>6.4751172739953983E-2</v>
      </c>
      <c r="K62" s="57">
        <f t="shared" si="6"/>
        <v>2078</v>
      </c>
      <c r="L62" s="65">
        <f>IF(B62&gt;Parameters!$B$28,0,L61*(1-VLOOKUP($B62-1,'Mortality tables'!$A$5:$G$125,6,FALSE)))</f>
        <v>2.8455511659052255E-6</v>
      </c>
      <c r="M62" s="65">
        <f>IF(C62&gt;Parameters!$B$28,0,M61*(1-VLOOKUP($C62-1,'Mortality tables'!$A$5:$G$125,7,FALSE)))</f>
        <v>0</v>
      </c>
      <c r="N62" s="62">
        <f>IF(L$4+$A62-Parameters!$B$18&lt;Parameters!$C$24,0,Parameters!$D$24*Parameters!$B$27*'Annuity projections'!L62)</f>
        <v>2.8455511659052255</v>
      </c>
      <c r="O62" s="62">
        <f>IF(M$4+$A62-Parameters!$B$18&lt;Parameters!$C$25,0,Parameters!$D$25*Parameters!$B$27*'Annuity projections'!M62)</f>
        <v>0</v>
      </c>
      <c r="P62" s="62">
        <f>L62*Parameters!$B$46*(1+Parameters!$B$54)*Parameters!$D$24+Parameters!$B$46*(1+Parameters!$B$54)*Parameters!$D$25*'Annuity projections'!M62</f>
        <v>3.1301062824957489E-2</v>
      </c>
      <c r="Q62" s="72">
        <f t="shared" si="3"/>
        <v>2.8768522287301832</v>
      </c>
    </row>
    <row r="63" spans="1:17">
      <c r="A63" s="57">
        <f t="shared" si="5"/>
        <v>2079</v>
      </c>
      <c r="B63" s="30">
        <f>$D$4+$A63-Parameters!$B$18</f>
        <v>112</v>
      </c>
      <c r="C63" s="30">
        <f>$E$4+$A63-Parameters!$B$18</f>
        <v>117</v>
      </c>
      <c r="D63" s="65">
        <f>IF(B63&gt;Parameters!$B$28,0,D62*(1-VLOOKUP($B63-1,'Mortality tables'!$A$5:$E$125,2,FALSE)))</f>
        <v>8.6287028132830601E-9</v>
      </c>
      <c r="E63" s="65">
        <f>IF(C63&gt;Parameters!$B$28,0,E62*(1-VLOOKUP($C63-1,'Mortality tables'!$A$5:$E$125,3,FALSE)))</f>
        <v>0</v>
      </c>
      <c r="F63" s="62">
        <f>IF(D$4+$A63-Parameters!$B$18&lt;Parameters!$C$24,0,Parameters!$D$24*Parameters!$B$27*'Annuity projections'!D63)</f>
        <v>8.6287028132830609E-3</v>
      </c>
      <c r="G63" s="62">
        <f>IF(E$4+$A63-Parameters!$B$18&lt;Parameters!$C$25,0,Parameters!$D$25*Parameters!$B$27*'Annuity projections'!E63)</f>
        <v>0</v>
      </c>
      <c r="H63" s="62">
        <f>Parameters!$D$24*'Annuity projections'!D63*Parameters!$B$46+Parameters!$B$46*Parameters!$D$25*'Annuity projections'!E63</f>
        <v>8.6287028132830601E-5</v>
      </c>
      <c r="I63" s="63">
        <f t="shared" si="4"/>
        <v>8.7149898414158912E-3</v>
      </c>
      <c r="K63" s="57">
        <f t="shared" si="6"/>
        <v>2079</v>
      </c>
      <c r="L63" s="65">
        <f>IF(B63&gt;Parameters!$B$28,0,L62*(1-VLOOKUP($B63-1,'Mortality tables'!$A$5:$G$125,6,FALSE)))</f>
        <v>7.5237283402907273E-7</v>
      </c>
      <c r="M63" s="65">
        <f>IF(C63&gt;Parameters!$B$28,0,M62*(1-VLOOKUP($C63-1,'Mortality tables'!$A$5:$G$125,7,FALSE)))</f>
        <v>0</v>
      </c>
      <c r="N63" s="62">
        <f>IF(L$4+$A63-Parameters!$B$18&lt;Parameters!$C$24,0,Parameters!$D$24*Parameters!$B$27*'Annuity projections'!L63)</f>
        <v>0.75237283402907273</v>
      </c>
      <c r="O63" s="62">
        <f>IF(M$4+$A63-Parameters!$B$18&lt;Parameters!$C$25,0,Parameters!$D$25*Parameters!$B$27*'Annuity projections'!M63)</f>
        <v>0</v>
      </c>
      <c r="P63" s="62">
        <f>L63*Parameters!$B$46*(1+Parameters!$B$54)*Parameters!$D$24+Parameters!$B$46*(1+Parameters!$B$54)*Parameters!$D$25*'Annuity projections'!M63</f>
        <v>8.2761011743198009E-3</v>
      </c>
      <c r="Q63" s="72">
        <f t="shared" si="3"/>
        <v>0.7606489352033925</v>
      </c>
    </row>
    <row r="64" spans="1:17">
      <c r="A64" s="57">
        <f t="shared" si="5"/>
        <v>2080</v>
      </c>
      <c r="B64" s="30">
        <f>$D$4+$A64-Parameters!$B$18</f>
        <v>113</v>
      </c>
      <c r="C64" s="30">
        <f>$E$4+$A64-Parameters!$B$18</f>
        <v>118</v>
      </c>
      <c r="D64" s="65">
        <f>IF(B64&gt;Parameters!$B$28,0,D63*(1-VLOOKUP($B64-1,'Mortality tables'!$A$5:$E$125,2,FALSE)))</f>
        <v>8.588320484116891E-10</v>
      </c>
      <c r="E64" s="65">
        <f>IF(C64&gt;Parameters!$B$28,0,E63*(1-VLOOKUP($C64-1,'Mortality tables'!$A$5:$E$125,3,FALSE)))</f>
        <v>0</v>
      </c>
      <c r="F64" s="62">
        <f>IF(D$4+$A64-Parameters!$B$18&lt;Parameters!$C$24,0,Parameters!$D$24*Parameters!$B$27*'Annuity projections'!D64)</f>
        <v>8.5883204841168907E-4</v>
      </c>
      <c r="G64" s="62">
        <f>IF(E$4+$A64-Parameters!$B$18&lt;Parameters!$C$25,0,Parameters!$D$25*Parameters!$B$27*'Annuity projections'!E64)</f>
        <v>0</v>
      </c>
      <c r="H64" s="62">
        <f>Parameters!$D$24*'Annuity projections'!D64*Parameters!$B$46+Parameters!$B$46*Parameters!$D$25*'Annuity projections'!E64</f>
        <v>8.5883204841168903E-6</v>
      </c>
      <c r="I64" s="63">
        <f t="shared" si="4"/>
        <v>8.6742036889580598E-4</v>
      </c>
      <c r="K64" s="57">
        <f t="shared" si="6"/>
        <v>2080</v>
      </c>
      <c r="L64" s="65">
        <f>IF(B64&gt;Parameters!$B$28,0,L63*(1-VLOOKUP($B64-1,'Mortality tables'!$A$5:$G$125,6,FALSE)))</f>
        <v>1.7650832208345531E-7</v>
      </c>
      <c r="M64" s="65">
        <f>IF(C64&gt;Parameters!$B$28,0,M63*(1-VLOOKUP($C64-1,'Mortality tables'!$A$5:$G$125,7,FALSE)))</f>
        <v>0</v>
      </c>
      <c r="N64" s="62">
        <f>IF(L$4+$A64-Parameters!$B$18&lt;Parameters!$C$24,0,Parameters!$D$24*Parameters!$B$27*'Annuity projections'!L64)</f>
        <v>0.17650832208345532</v>
      </c>
      <c r="O64" s="62">
        <f>IF(M$4+$A64-Parameters!$B$18&lt;Parameters!$C$25,0,Parameters!$D$25*Parameters!$B$27*'Annuity projections'!M64)</f>
        <v>0</v>
      </c>
      <c r="P64" s="62">
        <f>L64*Parameters!$B$46*(1+Parameters!$B$54)*Parameters!$D$24+Parameters!$B$46*(1+Parameters!$B$54)*Parameters!$D$25*'Annuity projections'!M64</f>
        <v>1.9415915429180086E-3</v>
      </c>
      <c r="Q64" s="72">
        <f t="shared" si="3"/>
        <v>0.17844991362637333</v>
      </c>
    </row>
    <row r="65" spans="1:17">
      <c r="A65" s="57">
        <f t="shared" si="5"/>
        <v>2081</v>
      </c>
      <c r="B65" s="30">
        <f>$D$4+$A65-Parameters!$B$18</f>
        <v>114</v>
      </c>
      <c r="C65" s="30">
        <f>$E$4+$A65-Parameters!$B$18</f>
        <v>119</v>
      </c>
      <c r="D65" s="65">
        <f>IF(B65&gt;Parameters!$B$28,0,D64*(1-VLOOKUP($B65-1,'Mortality tables'!$A$5:$E$125,2,FALSE)))</f>
        <v>5.6145286332865803E-11</v>
      </c>
      <c r="E65" s="65">
        <f>IF(C65&gt;Parameters!$B$28,0,E64*(1-VLOOKUP($C65-1,'Mortality tables'!$A$5:$E$125,3,FALSE)))</f>
        <v>0</v>
      </c>
      <c r="F65" s="62">
        <f>IF(D$4+$A65-Parameters!$B$18&lt;Parameters!$C$24,0,Parameters!$D$24*Parameters!$B$27*'Annuity projections'!D65)</f>
        <v>5.6145286332865802E-5</v>
      </c>
      <c r="G65" s="62">
        <f>IF(E$4+$A65-Parameters!$B$18&lt;Parameters!$C$25,0,Parameters!$D$25*Parameters!$B$27*'Annuity projections'!E65)</f>
        <v>0</v>
      </c>
      <c r="H65" s="62">
        <f>Parameters!$D$24*'Annuity projections'!D65*Parameters!$B$46+Parameters!$B$46*Parameters!$D$25*'Annuity projections'!E65</f>
        <v>5.6145286332865805E-7</v>
      </c>
      <c r="I65" s="63">
        <f t="shared" si="4"/>
        <v>5.6706739196194457E-5</v>
      </c>
      <c r="K65" s="57">
        <f t="shared" si="6"/>
        <v>2081</v>
      </c>
      <c r="L65" s="65">
        <f>IF(B65&gt;Parameters!$B$28,0,L64*(1-VLOOKUP($B65-1,'Mortality tables'!$A$5:$G$125,6,FALSE)))</f>
        <v>3.6284445103219536E-8</v>
      </c>
      <c r="M65" s="65">
        <f>IF(C65&gt;Parameters!$B$28,0,M64*(1-VLOOKUP($C65-1,'Mortality tables'!$A$5:$G$125,7,FALSE)))</f>
        <v>0</v>
      </c>
      <c r="N65" s="62">
        <f>IF(L$4+$A65-Parameters!$B$18&lt;Parameters!$C$24,0,Parameters!$D$24*Parameters!$B$27*'Annuity projections'!L65)</f>
        <v>3.6284445103219536E-2</v>
      </c>
      <c r="O65" s="62">
        <f>IF(M$4+$A65-Parameters!$B$18&lt;Parameters!$C$25,0,Parameters!$D$25*Parameters!$B$27*'Annuity projections'!M65)</f>
        <v>0</v>
      </c>
      <c r="P65" s="62">
        <f>L65*Parameters!$B$46*(1+Parameters!$B$54)*Parameters!$D$24+Parameters!$B$46*(1+Parameters!$B$54)*Parameters!$D$25*'Annuity projections'!M65</f>
        <v>3.991288961354149E-4</v>
      </c>
      <c r="Q65" s="72">
        <f t="shared" si="3"/>
        <v>3.668357399935495E-2</v>
      </c>
    </row>
    <row r="66" spans="1:17">
      <c r="A66" s="57">
        <f t="shared" si="5"/>
        <v>2082</v>
      </c>
      <c r="B66" s="30">
        <f>$D$4+$A66-Parameters!$B$18</f>
        <v>115</v>
      </c>
      <c r="C66" s="30">
        <f>$E$4+$A66-Parameters!$B$18</f>
        <v>120</v>
      </c>
      <c r="D66" s="65">
        <f>IF(B66&gt;Parameters!$B$28,0,D65*(1-VLOOKUP($B66-1,'Mortality tables'!$A$5:$E$125,2,FALSE)))</f>
        <v>1.8068114594779553E-12</v>
      </c>
      <c r="E66" s="65">
        <f>IF(C66&gt;Parameters!$B$28,0,E65*(1-VLOOKUP($C66-1,'Mortality tables'!$A$5:$E$125,3,FALSE)))</f>
        <v>0</v>
      </c>
      <c r="F66" s="62">
        <f>IF(D$4+$A66-Parameters!$B$18&lt;Parameters!$C$24,0,Parameters!$D$24*Parameters!$B$27*'Annuity projections'!D66)</f>
        <v>1.8068114594779552E-6</v>
      </c>
      <c r="G66" s="62">
        <f>IF(E$4+$A66-Parameters!$B$18&lt;Parameters!$C$25,0,Parameters!$D$25*Parameters!$B$27*'Annuity projections'!E66)</f>
        <v>0</v>
      </c>
      <c r="H66" s="62">
        <f>Parameters!$D$24*'Annuity projections'!D66*Parameters!$B$46+Parameters!$B$46*Parameters!$D$25*'Annuity projections'!E66</f>
        <v>1.8068114594779554E-8</v>
      </c>
      <c r="I66" s="63">
        <f t="shared" si="4"/>
        <v>1.8248795740727348E-6</v>
      </c>
      <c r="K66" s="57">
        <f t="shared" si="6"/>
        <v>2082</v>
      </c>
      <c r="L66" s="65">
        <f>IF(B66&gt;Parameters!$B$28,0,L65*(1-VLOOKUP($B66-1,'Mortality tables'!$A$5:$G$125,6,FALSE)))</f>
        <v>6.4351860341696333E-9</v>
      </c>
      <c r="M66" s="65">
        <f>IF(C66&gt;Parameters!$B$28,0,M65*(1-VLOOKUP($C66-1,'Mortality tables'!$A$5:$G$125,7,FALSE)))</f>
        <v>0</v>
      </c>
      <c r="N66" s="62">
        <f>IF(L$4+$A66-Parameters!$B$18&lt;Parameters!$C$24,0,Parameters!$D$24*Parameters!$B$27*'Annuity projections'!L66)</f>
        <v>6.4351860341696331E-3</v>
      </c>
      <c r="O66" s="62">
        <f>IF(M$4+$A66-Parameters!$B$18&lt;Parameters!$C$25,0,Parameters!$D$25*Parameters!$B$27*'Annuity projections'!M66)</f>
        <v>0</v>
      </c>
      <c r="P66" s="62">
        <f>L66*Parameters!$B$46*(1+Parameters!$B$54)*Parameters!$D$24+Parameters!$B$46*(1+Parameters!$B$54)*Parameters!$D$25*'Annuity projections'!M66</f>
        <v>7.0787046375865982E-5</v>
      </c>
      <c r="Q66" s="72">
        <f t="shared" si="3"/>
        <v>6.5059730805454991E-3</v>
      </c>
    </row>
    <row r="67" spans="1:17">
      <c r="A67" s="57">
        <f t="shared" si="5"/>
        <v>2083</v>
      </c>
      <c r="B67" s="30">
        <f>$D$4+$A67-Parameters!$B$18</f>
        <v>116</v>
      </c>
      <c r="C67" s="30">
        <f>$E$4+$A67-Parameters!$B$18</f>
        <v>121</v>
      </c>
      <c r="D67" s="65">
        <f>IF(B67&gt;Parameters!$B$28,0,D66*(1-VLOOKUP($B67-1,'Mortality tables'!$A$5:$E$125,2,FALSE)))</f>
        <v>0</v>
      </c>
      <c r="E67" s="65">
        <f>IF(C67&gt;Parameters!$B$28,0,E66*(1-VLOOKUP($C67-1,'Mortality tables'!$A$5:$E$125,3,FALSE)))</f>
        <v>0</v>
      </c>
      <c r="F67" s="62">
        <f>IF(D$4+$A67-Parameters!$B$18&lt;Parameters!$C$24,0,Parameters!$D$24*Parameters!$B$27*'Annuity projections'!D67)</f>
        <v>0</v>
      </c>
      <c r="G67" s="62">
        <f>IF(E$4+$A67-Parameters!$B$18&lt;Parameters!$C$25,0,Parameters!$D$25*Parameters!$B$27*'Annuity projections'!E67)</f>
        <v>0</v>
      </c>
      <c r="H67" s="62">
        <f>Parameters!$D$24*'Annuity projections'!D67*Parameters!$B$46+Parameters!$B$46*Parameters!$D$25*'Annuity projections'!E67</f>
        <v>0</v>
      </c>
      <c r="I67" s="63">
        <f t="shared" si="4"/>
        <v>0</v>
      </c>
      <c r="K67" s="57">
        <f t="shared" si="6"/>
        <v>2083</v>
      </c>
      <c r="L67" s="65">
        <f>IF(B67&gt;Parameters!$B$28,0,L66*(1-VLOOKUP($B67-1,'Mortality tables'!$A$5:$G$125,6,FALSE)))</f>
        <v>0</v>
      </c>
      <c r="M67" s="65">
        <f>IF(C67&gt;Parameters!$B$28,0,M66*(1-VLOOKUP($C67-1,'Mortality tables'!$A$5:$G$125,7,FALSE)))</f>
        <v>0</v>
      </c>
      <c r="N67" s="62">
        <f>IF(L$4+$A67-Parameters!$B$18&lt;Parameters!$C$24,0,Parameters!$D$24*Parameters!$B$27*'Annuity projections'!L67)</f>
        <v>0</v>
      </c>
      <c r="O67" s="62">
        <f>IF(M$4+$A67-Parameters!$B$18&lt;Parameters!$C$25,0,Parameters!$D$25*Parameters!$B$27*'Annuity projections'!M67)</f>
        <v>0</v>
      </c>
      <c r="P67" s="62">
        <f>L67*Parameters!$B$46*(1+Parameters!$B$54)*Parameters!$D$24+Parameters!$B$46*(1+Parameters!$B$54)*Parameters!$D$25*'Annuity projections'!M67</f>
        <v>0</v>
      </c>
      <c r="Q67" s="72">
        <f t="shared" si="3"/>
        <v>0</v>
      </c>
    </row>
    <row r="68" spans="1:17">
      <c r="A68" s="57">
        <f t="shared" si="5"/>
        <v>2084</v>
      </c>
      <c r="B68" s="30">
        <f>$D$4+$A68-Parameters!$B$18</f>
        <v>117</v>
      </c>
      <c r="C68" s="30">
        <f>$E$4+$A68-Parameters!$B$18</f>
        <v>122</v>
      </c>
      <c r="D68" s="65">
        <f>IF(B68&gt;Parameters!$B$28,0,D67*(1-VLOOKUP($B68-1,'Mortality tables'!$A$5:$E$125,2,FALSE)))</f>
        <v>0</v>
      </c>
      <c r="E68" s="65">
        <f>IF(C68&gt;Parameters!$B$28,0,E67*(1-VLOOKUP($C68-1,'Mortality tables'!$A$5:$E$125,3,FALSE)))</f>
        <v>0</v>
      </c>
      <c r="F68" s="62">
        <f>IF(D$4+$A68-Parameters!$B$18&lt;Parameters!$C$24,0,Parameters!$D$24*Parameters!$B$27*'Annuity projections'!D68)</f>
        <v>0</v>
      </c>
      <c r="G68" s="62">
        <f>IF(E$4+$A68-Parameters!$B$18&lt;Parameters!$C$25,0,Parameters!$D$25*Parameters!$B$27*'Annuity projections'!E68)</f>
        <v>0</v>
      </c>
      <c r="H68" s="62">
        <f>Parameters!$D$24*'Annuity projections'!D68*Parameters!$B$46+Parameters!$B$46*Parameters!$D$25*'Annuity projections'!E68</f>
        <v>0</v>
      </c>
      <c r="I68" s="63">
        <f t="shared" si="4"/>
        <v>0</v>
      </c>
      <c r="K68" s="57">
        <f t="shared" si="6"/>
        <v>2084</v>
      </c>
      <c r="L68" s="65">
        <f>IF(B68&gt;Parameters!$B$28,0,L67*(1-VLOOKUP($B68-1,'Mortality tables'!$A$5:$G$125,6,FALSE)))</f>
        <v>0</v>
      </c>
      <c r="M68" s="65">
        <f>IF(C68&gt;Parameters!$B$28,0,M67*(1-VLOOKUP($C68-1,'Mortality tables'!$A$5:$G$125,7,FALSE)))</f>
        <v>0</v>
      </c>
      <c r="N68" s="62">
        <f>IF(L$4+$A68-Parameters!$B$18&lt;Parameters!$C$24,0,Parameters!$D$24*Parameters!$B$27*'Annuity projections'!L68)</f>
        <v>0</v>
      </c>
      <c r="O68" s="62">
        <f>IF(M$4+$A68-Parameters!$B$18&lt;Parameters!$C$25,0,Parameters!$D$25*Parameters!$B$27*'Annuity projections'!M68)</f>
        <v>0</v>
      </c>
      <c r="P68" s="62">
        <f>L68*Parameters!$B$46*(1+Parameters!$B$54)*Parameters!$D$24+Parameters!$B$46*(1+Parameters!$B$54)*Parameters!$D$25*'Annuity projections'!M68</f>
        <v>0</v>
      </c>
      <c r="Q68" s="72">
        <f t="shared" si="3"/>
        <v>0</v>
      </c>
    </row>
    <row r="69" spans="1:17">
      <c r="A69" s="57">
        <f t="shared" si="5"/>
        <v>2085</v>
      </c>
      <c r="B69" s="30">
        <f>$D$4+$A69-Parameters!$B$18</f>
        <v>118</v>
      </c>
      <c r="C69" s="30">
        <f>$E$4+$A69-Parameters!$B$18</f>
        <v>123</v>
      </c>
      <c r="D69" s="65">
        <f>IF(B69&gt;Parameters!$B$28,0,D68*(1-VLOOKUP($B69-1,'Mortality tables'!$A$5:$E$125,2,FALSE)))</f>
        <v>0</v>
      </c>
      <c r="E69" s="65">
        <f>IF(C69&gt;Parameters!$B$28,0,E68*(1-VLOOKUP($C69-1,'Mortality tables'!$A$5:$E$125,3,FALSE)))</f>
        <v>0</v>
      </c>
      <c r="F69" s="62">
        <f>IF(D$4+$A69-Parameters!$B$18&lt;Parameters!$C$24,0,Parameters!$D$24*Parameters!$B$27*'Annuity projections'!D69)</f>
        <v>0</v>
      </c>
      <c r="G69" s="62">
        <f>IF(E$4+$A69-Parameters!$B$18&lt;Parameters!$C$25,0,Parameters!$D$25*Parameters!$B$27*'Annuity projections'!E69)</f>
        <v>0</v>
      </c>
      <c r="H69" s="62">
        <f>Parameters!$D$24*'Annuity projections'!D69*Parameters!$B$46+Parameters!$B$46*Parameters!$D$25*'Annuity projections'!E69</f>
        <v>0</v>
      </c>
      <c r="I69" s="63">
        <f t="shared" si="4"/>
        <v>0</v>
      </c>
      <c r="K69" s="57">
        <f t="shared" si="6"/>
        <v>2085</v>
      </c>
      <c r="L69" s="65">
        <f>IF(B69&gt;Parameters!$B$28,0,L68*(1-VLOOKUP($B69-1,'Mortality tables'!$A$5:$G$125,6,FALSE)))</f>
        <v>0</v>
      </c>
      <c r="M69" s="65">
        <f>IF(C69&gt;Parameters!$B$28,0,M68*(1-VLOOKUP($C69-1,'Mortality tables'!$A$5:$G$125,7,FALSE)))</f>
        <v>0</v>
      </c>
      <c r="N69" s="62">
        <f>IF(L$4+$A69-Parameters!$B$18&lt;Parameters!$C$24,0,Parameters!$D$24*Parameters!$B$27*'Annuity projections'!L69)</f>
        <v>0</v>
      </c>
      <c r="O69" s="62">
        <f>IF(M$4+$A69-Parameters!$B$18&lt;Parameters!$C$25,0,Parameters!$D$25*Parameters!$B$27*'Annuity projections'!M69)</f>
        <v>0</v>
      </c>
      <c r="P69" s="62">
        <f>L69*Parameters!$B$46*(1+Parameters!$B$54)*Parameters!$D$24+Parameters!$B$46*(1+Parameters!$B$54)*Parameters!$D$25*'Annuity projections'!M69</f>
        <v>0</v>
      </c>
      <c r="Q69" s="72">
        <f t="shared" si="3"/>
        <v>0</v>
      </c>
    </row>
    <row r="70" spans="1:17">
      <c r="A70" s="57">
        <f t="shared" si="5"/>
        <v>2086</v>
      </c>
      <c r="B70" s="30">
        <f>$D$4+$A70-Parameters!$B$18</f>
        <v>119</v>
      </c>
      <c r="C70" s="30">
        <f>$E$4+$A70-Parameters!$B$18</f>
        <v>124</v>
      </c>
      <c r="D70" s="65">
        <f>IF(B70&gt;Parameters!$B$28,0,D69*(1-VLOOKUP($B70-1,'Mortality tables'!$A$5:$E$125,2,FALSE)))</f>
        <v>0</v>
      </c>
      <c r="E70" s="65">
        <f>IF(C70&gt;Parameters!$B$28,0,E69*(1-VLOOKUP($C70-1,'Mortality tables'!$A$5:$E$125,3,FALSE)))</f>
        <v>0</v>
      </c>
      <c r="F70" s="62">
        <f>IF(D$4+$A70-Parameters!$B$18&lt;Parameters!$C$24,0,Parameters!$D$24*Parameters!$B$27*'Annuity projections'!D70)</f>
        <v>0</v>
      </c>
      <c r="G70" s="62">
        <f>IF(E$4+$A70-Parameters!$B$18&lt;Parameters!$C$25,0,Parameters!$D$25*Parameters!$B$27*'Annuity projections'!E70)</f>
        <v>0</v>
      </c>
      <c r="H70" s="62">
        <f>Parameters!$D$24*'Annuity projections'!D70*Parameters!$B$46+Parameters!$B$46*Parameters!$D$25*'Annuity projections'!E70</f>
        <v>0</v>
      </c>
      <c r="I70" s="63">
        <f t="shared" ref="I70:I71" si="7">SUM(F70:H70)</f>
        <v>0</v>
      </c>
      <c r="K70" s="57">
        <f t="shared" si="6"/>
        <v>2086</v>
      </c>
      <c r="L70" s="65">
        <f>IF(B70&gt;Parameters!$B$28,0,L69*(1-VLOOKUP($B70-1,'Mortality tables'!$A$5:$G$125,6,FALSE)))</f>
        <v>0</v>
      </c>
      <c r="M70" s="65">
        <f>IF(C70&gt;Parameters!$B$28,0,M69*(1-VLOOKUP($C70-1,'Mortality tables'!$A$5:$G$125,7,FALSE)))</f>
        <v>0</v>
      </c>
      <c r="N70" s="62">
        <f>IF(L$4+$A70-Parameters!$B$18&lt;Parameters!$C$24,0,Parameters!$D$24*Parameters!$B$27*'Annuity projections'!L70)</f>
        <v>0</v>
      </c>
      <c r="O70" s="62">
        <f>IF(M$4+$A70-Parameters!$B$18&lt;Parameters!$C$25,0,Parameters!$D$25*Parameters!$B$27*'Annuity projections'!M70)</f>
        <v>0</v>
      </c>
      <c r="P70" s="62">
        <f>L70*Parameters!$B$46*(1+Parameters!$B$54)*Parameters!$D$24+Parameters!$B$46*(1+Parameters!$B$54)*Parameters!$D$25*'Annuity projections'!M70</f>
        <v>0</v>
      </c>
      <c r="Q70" s="72">
        <f t="shared" si="3"/>
        <v>0</v>
      </c>
    </row>
    <row r="71" spans="1:17" ht="15" thickBot="1">
      <c r="A71" s="66">
        <f t="shared" si="5"/>
        <v>2087</v>
      </c>
      <c r="B71" s="67">
        <f>$D$4+$A71-Parameters!$B$18</f>
        <v>120</v>
      </c>
      <c r="C71" s="67">
        <f>$E$4+$A71-Parameters!$B$18</f>
        <v>125</v>
      </c>
      <c r="D71" s="65">
        <f>IF(B71&gt;Parameters!$B$28,0,D70*(1-VLOOKUP($B71-1,'Mortality tables'!$A$5:$E$125,2,FALSE)))</f>
        <v>0</v>
      </c>
      <c r="E71" s="65">
        <f>IF(C71&gt;Parameters!$B$28,0,E70*(1-VLOOKUP($C71-1,'Mortality tables'!$A$5:$E$125,3,FALSE)))</f>
        <v>0</v>
      </c>
      <c r="F71" s="68">
        <f>IF(D$4+$A71-Parameters!$B$18&lt;Parameters!$C$24,0,Parameters!$D$24*Parameters!$B$27*'Annuity projections'!D71)</f>
        <v>0</v>
      </c>
      <c r="G71" s="68">
        <f>IF(E$4+$A71-Parameters!$B$18&lt;Parameters!$C$25,0,Parameters!$D$25*Parameters!$B$27*'Annuity projections'!E71)</f>
        <v>0</v>
      </c>
      <c r="H71" s="68">
        <f>Parameters!$D$24*'Annuity projections'!D71*Parameters!$B$46+Parameters!$B$46*Parameters!$D$25*'Annuity projections'!E71</f>
        <v>0</v>
      </c>
      <c r="I71" s="69">
        <f t="shared" si="7"/>
        <v>0</v>
      </c>
      <c r="K71" s="66">
        <f t="shared" si="6"/>
        <v>2087</v>
      </c>
      <c r="L71" s="65">
        <f>IF(B71&gt;Parameters!$B$28,0,L70*(1-VLOOKUP($B71-1,'Mortality tables'!$A$5:$G$125,6,FALSE)))</f>
        <v>0</v>
      </c>
      <c r="M71" s="65">
        <f>IF(C71&gt;Parameters!$B$28,0,M70*(1-VLOOKUP($C71-1,'Mortality tables'!$A$5:$G$125,7,FALSE)))</f>
        <v>0</v>
      </c>
      <c r="N71" s="68">
        <f>IF(L$4+$A71-Parameters!$B$18&lt;Parameters!$C$24,0,Parameters!$D$24*Parameters!$B$27*'Annuity projections'!L71)</f>
        <v>0</v>
      </c>
      <c r="O71" s="68">
        <f>IF(M$4+$A71-Parameters!$B$18&lt;Parameters!$C$25,0,Parameters!$D$25*Parameters!$B$27*'Annuity projections'!M71)</f>
        <v>0</v>
      </c>
      <c r="P71" s="68">
        <f>L71*Parameters!$B$46*(1+Parameters!$B$54)*Parameters!$D$24+Parameters!$B$46*(1+Parameters!$B$54)*Parameters!$D$25*'Annuity projections'!M71</f>
        <v>0</v>
      </c>
      <c r="Q71" s="73">
        <f t="shared" ref="Q71" si="8">SUM(N71:P71)</f>
        <v>0</v>
      </c>
    </row>
    <row r="73" spans="1:17">
      <c r="F73" s="9"/>
      <c r="G73" s="9"/>
      <c r="H73" s="9"/>
      <c r="I73" s="9"/>
      <c r="N73" s="9"/>
      <c r="O73" s="9"/>
      <c r="P73" s="9"/>
    </row>
    <row r="75" spans="1:17">
      <c r="F75" s="22"/>
      <c r="N75" s="22"/>
    </row>
  </sheetData>
  <printOptions gridLines="1"/>
  <pageMargins left="0.7" right="0.7" top="0.75" bottom="0.75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4"/>
  <sheetViews>
    <sheetView workbookViewId="0"/>
  </sheetViews>
  <sheetFormatPr defaultRowHeight="14.5"/>
  <cols>
    <col min="1" max="1" width="10.453125" bestFit="1" customWidth="1"/>
    <col min="2" max="2" width="10.453125" style="1" customWidth="1"/>
    <col min="3" max="3" width="13.36328125" bestFit="1" customWidth="1"/>
    <col min="4" max="4" width="15" bestFit="1" customWidth="1"/>
    <col min="5" max="5" width="13.08984375" bestFit="1" customWidth="1"/>
    <col min="6" max="6" width="11" bestFit="1" customWidth="1"/>
    <col min="7" max="7" width="10.54296875" customWidth="1"/>
    <col min="8" max="8" width="13.6328125" style="1" bestFit="1" customWidth="1"/>
    <col min="10" max="11" width="8.90625" style="1"/>
    <col min="12" max="12" width="13.36328125" style="1" bestFit="1" customWidth="1"/>
    <col min="13" max="13" width="15" style="1" bestFit="1" customWidth="1"/>
    <col min="14" max="15" width="11.1796875" style="1" bestFit="1" customWidth="1"/>
    <col min="16" max="16" width="8.90625" style="1"/>
    <col min="17" max="17" width="13.6328125" style="1" bestFit="1" customWidth="1"/>
  </cols>
  <sheetData>
    <row r="1" spans="1:17" s="1" customFormat="1">
      <c r="A1" s="3" t="s">
        <v>55</v>
      </c>
    </row>
    <row r="2" spans="1:17" s="1" customFormat="1" ht="15" thickBot="1">
      <c r="F2" s="53"/>
    </row>
    <row r="3" spans="1:17">
      <c r="A3" s="55" t="s">
        <v>32</v>
      </c>
      <c r="B3" s="56"/>
      <c r="C3" s="56"/>
      <c r="D3" s="56"/>
      <c r="E3" s="120" t="s">
        <v>76</v>
      </c>
      <c r="F3" s="119"/>
      <c r="G3" s="56"/>
      <c r="H3" s="20" t="s">
        <v>42</v>
      </c>
      <c r="J3" s="55" t="s">
        <v>47</v>
      </c>
      <c r="K3" s="56"/>
      <c r="L3" s="56"/>
      <c r="M3" s="56"/>
      <c r="N3" s="120" t="s">
        <v>76</v>
      </c>
      <c r="O3" s="119"/>
      <c r="P3" s="56"/>
      <c r="Q3" s="20" t="s">
        <v>42</v>
      </c>
    </row>
    <row r="4" spans="1:17" ht="15" thickBot="1">
      <c r="A4" s="57" t="s">
        <v>11</v>
      </c>
      <c r="B4" s="30"/>
      <c r="C4" s="30"/>
      <c r="D4" s="30"/>
      <c r="E4" s="30">
        <f>Parameters!$B$33</f>
        <v>40</v>
      </c>
      <c r="F4" s="30">
        <f>Parameters!$B$34</f>
        <v>35</v>
      </c>
      <c r="G4" s="30"/>
      <c r="H4" s="21">
        <f>NPV(Parameters!$B$41,H6:H30)</f>
        <v>27025008.893611234</v>
      </c>
      <c r="J4" s="57" t="s">
        <v>11</v>
      </c>
      <c r="K4" s="30"/>
      <c r="L4" s="30"/>
      <c r="M4" s="30"/>
      <c r="N4" s="30">
        <f>Parameters!$B$33</f>
        <v>40</v>
      </c>
      <c r="O4" s="30">
        <f>Parameters!$B$34</f>
        <v>35</v>
      </c>
      <c r="P4" s="30"/>
      <c r="Q4" s="21">
        <f>NPV(Parameters!$B$41,Q6:Q30)</f>
        <v>33211559.998197969</v>
      </c>
    </row>
    <row r="5" spans="1:17">
      <c r="A5" s="57" t="s">
        <v>48</v>
      </c>
      <c r="B5" s="30" t="s">
        <v>9</v>
      </c>
      <c r="C5" s="30" t="s">
        <v>57</v>
      </c>
      <c r="D5" s="30" t="s">
        <v>58</v>
      </c>
      <c r="E5" s="30" t="s">
        <v>56</v>
      </c>
      <c r="F5" s="30" t="s">
        <v>15</v>
      </c>
      <c r="G5" s="30" t="s">
        <v>21</v>
      </c>
      <c r="H5" s="59" t="s">
        <v>65</v>
      </c>
      <c r="J5" s="57" t="s">
        <v>48</v>
      </c>
      <c r="K5" s="30" t="s">
        <v>9</v>
      </c>
      <c r="L5" s="30" t="s">
        <v>57</v>
      </c>
      <c r="M5" s="30" t="s">
        <v>58</v>
      </c>
      <c r="N5" s="30" t="s">
        <v>56</v>
      </c>
      <c r="O5" s="30" t="s">
        <v>15</v>
      </c>
      <c r="P5" s="30" t="s">
        <v>21</v>
      </c>
      <c r="Q5" s="59" t="s">
        <v>65</v>
      </c>
    </row>
    <row r="6" spans="1:17">
      <c r="A6" s="74">
        <f>Parameters!B18</f>
        <v>2022</v>
      </c>
      <c r="B6" s="30">
        <f>A6-Parameters!$B$18+1</f>
        <v>1</v>
      </c>
      <c r="C6" s="75">
        <v>1</v>
      </c>
      <c r="D6" s="75">
        <v>1</v>
      </c>
      <c r="E6" s="62">
        <f>IF($B6&gt;Parameters!$B$38,0,C6*VLOOKUP(E$4+$B6-1,'CI tables'!$A$5:$C$97,2,FALSE)*Parameters!$C$33*Parameters!$B$36)</f>
        <v>312000</v>
      </c>
      <c r="F6" s="62">
        <f>IF($B6&gt;Parameters!$B$38,0,D6*VLOOKUP(F$4+$B6-1,'CI tables'!$A$5:$C$97,3,FALSE)*Parameters!$C$34*Parameters!$B$36)</f>
        <v>182999.99999999997</v>
      </c>
      <c r="G6" s="62">
        <f>C6*Parameters!$C$33*Parameters!$B$46+D6*Parameters!$C$34*Parameters!$B$46</f>
        <v>35000</v>
      </c>
      <c r="H6" s="63">
        <f>SUM(E6:G6)</f>
        <v>530000</v>
      </c>
      <c r="J6" s="74">
        <f>Parameters!B18</f>
        <v>2022</v>
      </c>
      <c r="K6" s="30">
        <f>J6-Parameters!$B$18+1</f>
        <v>1</v>
      </c>
      <c r="L6" s="78">
        <v>1</v>
      </c>
      <c r="M6" s="78">
        <v>1</v>
      </c>
      <c r="N6" s="62">
        <f>IF($B6&gt;Parameters!$B$38,0,L6*VLOOKUP(N$4+$B6-1,'CI tables'!$A$5:$E$97,4,FALSE)*Parameters!$C$33*Parameters!$B$36)</f>
        <v>390000</v>
      </c>
      <c r="O6" s="62">
        <f>IF($B6&gt;Parameters!$B$38,0,M6*VLOOKUP(O$4+$B6-1,'CI tables'!$A$5:$E$97,5,FALSE)*Parameters!$C$34*Parameters!$B$36)</f>
        <v>228749.99999999997</v>
      </c>
      <c r="P6" s="62">
        <f>(L6*Parameters!$C$33*Parameters!$B$46+M6*Parameters!$C$34*Parameters!$B$46)*(1+Parameters!$B$54)</f>
        <v>38500</v>
      </c>
      <c r="Q6" s="63">
        <f>SUM(N6:P6)</f>
        <v>657250</v>
      </c>
    </row>
    <row r="7" spans="1:17">
      <c r="A7" s="57">
        <f t="shared" ref="A7:A30" si="0">A6+1</f>
        <v>2023</v>
      </c>
      <c r="B7" s="30">
        <f>A7-Parameters!$B$18+1</f>
        <v>2</v>
      </c>
      <c r="C7" s="76">
        <f>IF(B7&gt;Parameters!$B$38,0,C6*(1-VLOOKUP($E$4+$B7-2,'CI tables'!$A$5:$C$97,2,FALSE)))</f>
        <v>0.99843999999999999</v>
      </c>
      <c r="D7" s="76">
        <f>IF(B7&gt;Parameters!$B$38,0,D6*(1-VLOOKUP($F$4+$B7-2,'CI tables'!$A$5:$C$97,3,FALSE)))</f>
        <v>0.99878</v>
      </c>
      <c r="E7" s="62">
        <f>IF($B7&gt;Parameters!$B$38,0,C7*VLOOKUP(E$4+$B7-1,'CI tables'!$A$5:$C$97,2,FALSE)*Parameters!$C$33*Parameters!$B$36)</f>
        <v>337472.72000000003</v>
      </c>
      <c r="F7" s="62">
        <f>IF($B7&gt;Parameters!$B$38,0,D7*VLOOKUP(F$4+$B7-1,'CI tables'!$A$5:$C$97,3,FALSE)*Parameters!$C$34*Parameters!$B$36)</f>
        <v>197758.44000000003</v>
      </c>
      <c r="G7" s="62">
        <f>C7*Parameters!$C$33*Parameters!$B$46+D7*Parameters!$C$34*Parameters!$B$46</f>
        <v>34950.5</v>
      </c>
      <c r="H7" s="63">
        <f t="shared" ref="H7:H30" si="1">SUM(E7:G7)</f>
        <v>570181.66</v>
      </c>
      <c r="J7" s="57">
        <f t="shared" ref="J7:J30" si="2">J6+1</f>
        <v>2023</v>
      </c>
      <c r="K7" s="30">
        <f>J7-Parameters!$B$18+1</f>
        <v>2</v>
      </c>
      <c r="L7" s="76">
        <f>IF(K7&gt;Parameters!$B$38,0,L6*(1-VLOOKUP($E$4+$B7-2,'CI tables'!$A$5:$E$97,4,FALSE)))</f>
        <v>0.99804999999999999</v>
      </c>
      <c r="M7" s="76">
        <f>IF(K7&gt;Parameters!$B$38,0,M6*(1-VLOOKUP($F$4+$B7-2,'CI tables'!$A$5:$E$97,5,FALSE)))</f>
        <v>0.998475</v>
      </c>
      <c r="N7" s="62">
        <f>IF($B7&gt;Parameters!$B$38,0,L7*VLOOKUP(N$4+$B7-1,'CI tables'!$A$5:$E$97,4,FALSE)*Parameters!$C$33*Parameters!$B$36)</f>
        <v>421676.125</v>
      </c>
      <c r="O7" s="62">
        <f>IF($B7&gt;Parameters!$B$38,0,M7*VLOOKUP(O$4+$B7-1,'CI tables'!$A$5:$E$97,5,FALSE)*Parameters!$C$34*Parameters!$B$36)</f>
        <v>247122.56249999997</v>
      </c>
      <c r="P7" s="62">
        <f>(L7*Parameters!$C$33*Parameters!$B$46+M7*Parameters!$C$34*Parameters!$B$46)*(1+Parameters!$B$54)</f>
        <v>38431.9375</v>
      </c>
      <c r="Q7" s="63">
        <f t="shared" ref="Q7:Q30" si="3">SUM(N7:P7)</f>
        <v>707230.625</v>
      </c>
    </row>
    <row r="8" spans="1:17">
      <c r="A8" s="57">
        <f t="shared" si="0"/>
        <v>2024</v>
      </c>
      <c r="B8" s="30">
        <f>A8-Parameters!$B$18+1</f>
        <v>3</v>
      </c>
      <c r="C8" s="76">
        <f>IF(B8&gt;Parameters!$B$38,0,C7*(1-VLOOKUP($E$4+$B8-2,'CI tables'!$A$5:$C$97,2,FALSE)))</f>
        <v>0.9967526364</v>
      </c>
      <c r="D8" s="76">
        <f>IF(B8&gt;Parameters!$B$38,0,D7*(1-VLOOKUP($F$4+$B8-2,'CI tables'!$A$5:$C$97,3,FALSE)))</f>
        <v>0.99746161040000003</v>
      </c>
      <c r="E8" s="62">
        <f>IF($B8&gt;Parameters!$B$38,0,C8*VLOOKUP(E$4+$B8-1,'CI tables'!$A$5:$C$97,2,FALSE)*Parameters!$C$33*Parameters!$B$36)</f>
        <v>362817.95964960003</v>
      </c>
      <c r="F8" s="62">
        <f>IF($B8&gt;Parameters!$B$38,0,D8*VLOOKUP(F$4+$B8-1,'CI tables'!$A$5:$C$97,3,FALSE)*Parameters!$C$34*Parameters!$B$36)</f>
        <v>212459.3230152</v>
      </c>
      <c r="G8" s="62">
        <f>C8*Parameters!$C$33*Parameters!$B$46+D8*Parameters!$C$34*Parameters!$B$46</f>
        <v>34896.976884000003</v>
      </c>
      <c r="H8" s="63">
        <f t="shared" si="1"/>
        <v>610174.25954880007</v>
      </c>
      <c r="J8" s="57">
        <f t="shared" si="2"/>
        <v>2024</v>
      </c>
      <c r="K8" s="30">
        <f>J8-Parameters!$B$18+1</f>
        <v>3</v>
      </c>
      <c r="L8" s="76">
        <f>IF(K8&gt;Parameters!$B$38,0,L7*(1-VLOOKUP($E$4+$B8-2,'CI tables'!$A$5:$E$97,4,FALSE)))</f>
        <v>0.99594161937500003</v>
      </c>
      <c r="M8" s="76">
        <f>IF(K8&gt;Parameters!$B$38,0,M7*(1-VLOOKUP($F$4+$B8-2,'CI tables'!$A$5:$E$97,5,FALSE)))</f>
        <v>0.99682751624999999</v>
      </c>
      <c r="N8" s="62">
        <f>IF($B8&gt;Parameters!$B$38,0,L8*VLOOKUP(N$4+$B8-1,'CI tables'!$A$5:$E$97,4,FALSE)*Parameters!$C$33*Parameters!$B$36)</f>
        <v>453153.436815625</v>
      </c>
      <c r="O8" s="62">
        <f>IF($B8&gt;Parameters!$B$38,0,M8*VLOOKUP(O$4+$B8-1,'CI tables'!$A$5:$E$97,5,FALSE)*Parameters!$C$34*Parameters!$B$36)</f>
        <v>265405.32620156248</v>
      </c>
      <c r="P8" s="62">
        <f>(L8*Parameters!$C$33*Parameters!$B$46+M8*Parameters!$C$34*Parameters!$B$46)*(1+Parameters!$B$54)</f>
        <v>38358.369644375009</v>
      </c>
      <c r="Q8" s="63">
        <f t="shared" si="3"/>
        <v>756917.13266156253</v>
      </c>
    </row>
    <row r="9" spans="1:17">
      <c r="A9" s="57">
        <f t="shared" si="0"/>
        <v>2025</v>
      </c>
      <c r="B9" s="30">
        <f>A9-Parameters!$B$18+1</f>
        <v>4</v>
      </c>
      <c r="C9" s="76">
        <f>IF(B9&gt;Parameters!$B$38,0,C8*(1-VLOOKUP($E$4+$B9-2,'CI tables'!$A$5:$C$97,2,FALSE)))</f>
        <v>0.99493854660175196</v>
      </c>
      <c r="D9" s="76">
        <f>IF(B9&gt;Parameters!$B$38,0,D8*(1-VLOOKUP($F$4+$B9-2,'CI tables'!$A$5:$C$97,3,FALSE)))</f>
        <v>0.99604521491323206</v>
      </c>
      <c r="E9" s="62">
        <f>IF($B9&gt;Parameters!$B$38,0,C9*VLOOKUP(E$4+$B9-1,'CI tables'!$A$5:$C$97,2,FALSE)*Parameters!$C$33*Parameters!$B$36)</f>
        <v>392005.78736109025</v>
      </c>
      <c r="F9" s="62">
        <f>IF($B9&gt;Parameters!$B$38,0,D9*VLOOKUP(F$4+$B9-1,'CI tables'!$A$5:$C$97,3,FALSE)*Parameters!$C$34*Parameters!$B$36)</f>
        <v>227098.30900021689</v>
      </c>
      <c r="G9" s="62">
        <f>C9*Parameters!$C$33*Parameters!$B$46+D9*Parameters!$C$34*Parameters!$B$46</f>
        <v>34839.449155733513</v>
      </c>
      <c r="H9" s="63">
        <f t="shared" si="1"/>
        <v>653943.54551704065</v>
      </c>
      <c r="J9" s="57">
        <f t="shared" si="2"/>
        <v>2025</v>
      </c>
      <c r="K9" s="30">
        <f>J9-Parameters!$B$18+1</f>
        <v>4</v>
      </c>
      <c r="L9" s="76">
        <f>IF(K9&gt;Parameters!$B$38,0,L8*(1-VLOOKUP($E$4+$B9-2,'CI tables'!$A$5:$E$97,4,FALSE)))</f>
        <v>0.99367585219092192</v>
      </c>
      <c r="M9" s="76">
        <f>IF(K9&gt;Parameters!$B$38,0,M8*(1-VLOOKUP($F$4+$B9-2,'CI tables'!$A$5:$E$97,5,FALSE)))</f>
        <v>0.99505814740865628</v>
      </c>
      <c r="N9" s="62">
        <f>IF($B9&gt;Parameters!$B$38,0,L9*VLOOKUP(N$4+$B9-1,'CI tables'!$A$5:$E$97,4,FALSE)*Parameters!$C$33*Parameters!$B$36)</f>
        <v>489385.35720402899</v>
      </c>
      <c r="O9" s="62">
        <f>IF($B9&gt;Parameters!$B$38,0,M9*VLOOKUP(O$4+$B9-1,'CI tables'!$A$5:$E$97,5,FALSE)*Parameters!$C$34*Parameters!$B$36)</f>
        <v>283591.57201146707</v>
      </c>
      <c r="P9" s="62">
        <f>(L9*Parameters!$C$33*Parameters!$B$46+M9*Parameters!$C$34*Parameters!$B$46)*(1+Parameters!$B$54)</f>
        <v>38279.328180443117</v>
      </c>
      <c r="Q9" s="63">
        <f t="shared" si="3"/>
        <v>811256.2573959392</v>
      </c>
    </row>
    <row r="10" spans="1:17">
      <c r="A10" s="57">
        <f t="shared" si="0"/>
        <v>2026</v>
      </c>
      <c r="B10" s="30">
        <f>A10-Parameters!$B$18+1</f>
        <v>5</v>
      </c>
      <c r="C10" s="76">
        <f>IF(B10&gt;Parameters!$B$38,0,C9*(1-VLOOKUP($E$4+$B10-2,'CI tables'!$A$5:$C$97,2,FALSE)))</f>
        <v>0.99297851766494649</v>
      </c>
      <c r="D10" s="76">
        <f>IF(B10&gt;Parameters!$B$38,0,D9*(1-VLOOKUP($F$4+$B10-2,'CI tables'!$A$5:$C$97,3,FALSE)))</f>
        <v>0.99453122618656398</v>
      </c>
      <c r="E10" s="62">
        <f>IF($B10&gt;Parameters!$B$38,0,C10*VLOOKUP(E$4+$B10-1,'CI tables'!$A$5:$C$97,2,FALSE)*Parameters!$C$33*Parameters!$B$36)</f>
        <v>421022.89148993732</v>
      </c>
      <c r="F10" s="62">
        <f>IF($B10&gt;Parameters!$B$38,0,D10*VLOOKUP(F$4+$B10-1,'CI tables'!$A$5:$C$97,3,FALSE)*Parameters!$C$34*Parameters!$B$36)</f>
        <v>243162.88480261486</v>
      </c>
      <c r="G10" s="62">
        <f>C10*Parameters!$C$33*Parameters!$B$46+D10*Parameters!$C$34*Parameters!$B$46</f>
        <v>34777.538746097387</v>
      </c>
      <c r="H10" s="63">
        <f t="shared" si="1"/>
        <v>698963.3150386496</v>
      </c>
      <c r="J10" s="57">
        <f t="shared" si="2"/>
        <v>2026</v>
      </c>
      <c r="K10" s="30">
        <f>J10-Parameters!$B$18+1</f>
        <v>5</v>
      </c>
      <c r="L10" s="76">
        <f>IF(K10&gt;Parameters!$B$38,0,L9*(1-VLOOKUP($E$4+$B10-2,'CI tables'!$A$5:$E$97,4,FALSE)))</f>
        <v>0.99122892540490171</v>
      </c>
      <c r="M10" s="76">
        <f>IF(K10&gt;Parameters!$B$38,0,M9*(1-VLOOKUP($F$4+$B10-2,'CI tables'!$A$5:$E$97,5,FALSE)))</f>
        <v>0.99316753692857984</v>
      </c>
      <c r="N10" s="62">
        <f>IF($B10&gt;Parameters!$B$38,0,L10*VLOOKUP(N$4+$B10-1,'CI tables'!$A$5:$E$97,4,FALSE)*Parameters!$C$33*Parameters!$B$36)</f>
        <v>525351.33046459791</v>
      </c>
      <c r="O10" s="62">
        <f>IF($B10&gt;Parameters!$B$38,0,M10*VLOOKUP(O$4+$B10-1,'CI tables'!$A$5:$E$97,5,FALSE)*Parameters!$C$34*Parameters!$B$36)</f>
        <v>303536.82847379718</v>
      </c>
      <c r="P10" s="62">
        <f>(L10*Parameters!$C$33*Parameters!$B$46+M10*Parameters!$C$34*Parameters!$B$46)*(1+Parameters!$B$54)</f>
        <v>38194.30071822941</v>
      </c>
      <c r="Q10" s="63">
        <f t="shared" si="3"/>
        <v>867082.45965662447</v>
      </c>
    </row>
    <row r="11" spans="1:17">
      <c r="A11" s="57">
        <f t="shared" si="0"/>
        <v>2027</v>
      </c>
      <c r="B11" s="30">
        <f>A11-Parameters!$B$18+1</f>
        <v>6</v>
      </c>
      <c r="C11" s="76">
        <f>IF(B11&gt;Parameters!$B$38,0,C10*(1-VLOOKUP($E$4+$B11-2,'CI tables'!$A$5:$C$97,2,FALSE)))</f>
        <v>0.99087340320749684</v>
      </c>
      <c r="D11" s="76">
        <f>IF(B11&gt;Parameters!$B$38,0,D10*(1-VLOOKUP($F$4+$B11-2,'CI tables'!$A$5:$C$97,3,FALSE)))</f>
        <v>0.99291014028787983</v>
      </c>
      <c r="E11" s="62">
        <f>IF($B11&gt;Parameters!$B$38,0,C11*VLOOKUP(E$4+$B11-1,'CI tables'!$A$5:$C$97,2,FALSE)*Parameters!$C$33*Parameters!$B$36)</f>
        <v>457783.51228186354</v>
      </c>
      <c r="F11" s="62">
        <f>IF($B11&gt;Parameters!$B$38,0,D11*VLOOKUP(F$4+$B11-1,'CI tables'!$A$5:$C$97,3,FALSE)*Parameters!$C$34*Parameters!$B$36)</f>
        <v>260638.91182556847</v>
      </c>
      <c r="G11" s="62">
        <f>C11*Parameters!$C$33*Parameters!$B$46+D11*Parameters!$C$34*Parameters!$B$46</f>
        <v>34711.120168468136</v>
      </c>
      <c r="H11" s="63">
        <f t="shared" si="1"/>
        <v>753133.54427590012</v>
      </c>
      <c r="J11" s="57">
        <f t="shared" si="2"/>
        <v>2027</v>
      </c>
      <c r="K11" s="30">
        <f>J11-Parameters!$B$18+1</f>
        <v>6</v>
      </c>
      <c r="L11" s="76">
        <f>IF(K11&gt;Parameters!$B$38,0,L10*(1-VLOOKUP($E$4+$B11-2,'CI tables'!$A$5:$E$97,4,FALSE)))</f>
        <v>0.98860216875257867</v>
      </c>
      <c r="M11" s="76">
        <f>IF(K11&gt;Parameters!$B$38,0,M10*(1-VLOOKUP($F$4+$B11-2,'CI tables'!$A$5:$E$97,5,FALSE)))</f>
        <v>0.99114395807208788</v>
      </c>
      <c r="N11" s="62">
        <f>IF($B11&gt;Parameters!$B$38,0,L11*VLOOKUP(N$4+$B11-1,'CI tables'!$A$5:$E$97,4,FALSE)*Parameters!$C$33*Parameters!$B$36)</f>
        <v>570917.75245461415</v>
      </c>
      <c r="O11" s="62">
        <f>IF($B11&gt;Parameters!$B$38,0,M11*VLOOKUP(O$4+$B11-1,'CI tables'!$A$5:$E$97,5,FALSE)*Parameters!$C$34*Parameters!$B$36)</f>
        <v>325219.11124240386</v>
      </c>
      <c r="P11" s="62">
        <f>(L11*Parameters!$C$33*Parameters!$B$46+M11*Parameters!$C$34*Parameters!$B$46)*(1+Parameters!$B$54)</f>
        <v>38103.123020746185</v>
      </c>
      <c r="Q11" s="63">
        <f t="shared" si="3"/>
        <v>934239.98671776417</v>
      </c>
    </row>
    <row r="12" spans="1:17">
      <c r="A12" s="57">
        <f t="shared" si="0"/>
        <v>2028</v>
      </c>
      <c r="B12" s="30">
        <f>A12-Parameters!$B$18+1</f>
        <v>7</v>
      </c>
      <c r="C12" s="76">
        <f>IF(B12&gt;Parameters!$B$38,0,C11*(1-VLOOKUP($E$4+$B12-2,'CI tables'!$A$5:$C$97,2,FALSE)))</f>
        <v>0.98858448564608747</v>
      </c>
      <c r="D12" s="76">
        <f>IF(B12&gt;Parameters!$B$38,0,D11*(1-VLOOKUP($F$4+$B12-2,'CI tables'!$A$5:$C$97,3,FALSE)))</f>
        <v>0.99117254754237605</v>
      </c>
      <c r="E12" s="62">
        <f>IF($B12&gt;Parameters!$B$38,0,C12*VLOOKUP(E$4+$B12-1,'CI tables'!$A$5:$C$97,2,FALSE)*Parameters!$C$33*Parameters!$B$36)</f>
        <v>506155.25665079686</v>
      </c>
      <c r="F12" s="62">
        <f>IF($B12&gt;Parameters!$B$38,0,D12*VLOOKUP(F$4+$B12-1,'CI tables'!$A$5:$C$97,3,FALSE)*Parameters!$C$34*Parameters!$B$36)</f>
        <v>285457.69369220431</v>
      </c>
      <c r="G12" s="62">
        <f>C12*Parameters!$C$33*Parameters!$B$46+D12*Parameters!$C$34*Parameters!$B$46</f>
        <v>34639.277926057388</v>
      </c>
      <c r="H12" s="63">
        <f t="shared" si="1"/>
        <v>826252.22826905851</v>
      </c>
      <c r="J12" s="57">
        <f t="shared" si="2"/>
        <v>2028</v>
      </c>
      <c r="K12" s="30">
        <f>J12-Parameters!$B$18+1</f>
        <v>7</v>
      </c>
      <c r="L12" s="76">
        <f>IF(K12&gt;Parameters!$B$38,0,L11*(1-VLOOKUP($E$4+$B12-2,'CI tables'!$A$5:$E$97,4,FALSE)))</f>
        <v>0.9857475799903056</v>
      </c>
      <c r="M12" s="76">
        <f>IF(K12&gt;Parameters!$B$38,0,M11*(1-VLOOKUP($F$4+$B12-2,'CI tables'!$A$5:$E$97,5,FALSE)))</f>
        <v>0.98897583066380523</v>
      </c>
      <c r="N12" s="62">
        <f>IF($B12&gt;Parameters!$B$38,0,L12*VLOOKUP(N$4+$B12-1,'CI tables'!$A$5:$E$97,4,FALSE)*Parameters!$C$33*Parameters!$B$36)</f>
        <v>630878.45119379566</v>
      </c>
      <c r="O12" s="62">
        <f>IF($B12&gt;Parameters!$B$38,0,M12*VLOOKUP(O$4+$B12-1,'CI tables'!$A$5:$E$97,5,FALSE)*Parameters!$C$34*Parameters!$B$36)</f>
        <v>356031.29903896991</v>
      </c>
      <c r="P12" s="62">
        <f>(L12*Parameters!$C$33*Parameters!$B$46+M12*Parameters!$C$34*Parameters!$B$46)*(1+Parameters!$B$54)</f>
        <v>38004.547965739512</v>
      </c>
      <c r="Q12" s="63">
        <f t="shared" si="3"/>
        <v>1024914.2981985051</v>
      </c>
    </row>
    <row r="13" spans="1:17">
      <c r="A13" s="57">
        <f t="shared" si="0"/>
        <v>2029</v>
      </c>
      <c r="B13" s="30">
        <f>A13-Parameters!$B$18+1</f>
        <v>8</v>
      </c>
      <c r="C13" s="76">
        <f>IF(B13&gt;Parameters!$B$38,0,C12*(1-VLOOKUP($E$4+$B13-2,'CI tables'!$A$5:$C$97,2,FALSE)))</f>
        <v>0.98605370936283343</v>
      </c>
      <c r="D13" s="76">
        <f>IF(B13&gt;Parameters!$B$38,0,D12*(1-VLOOKUP($F$4+$B13-2,'CI tables'!$A$5:$C$97,3,FALSE)))</f>
        <v>0.98926949625109462</v>
      </c>
      <c r="E13" s="62">
        <f>IF($B13&gt;Parameters!$B$38,0,C13*VLOOKUP(E$4+$B13-1,'CI tables'!$A$5:$C$97,2,FALSE)*Parameters!$C$33*Parameters!$B$36)</f>
        <v>562050.61433681508</v>
      </c>
      <c r="F13" s="62">
        <f>IF($B13&gt;Parameters!$B$38,0,D13*VLOOKUP(F$4+$B13-1,'CI tables'!$A$5:$C$97,3,FALSE)*Parameters!$C$34*Parameters!$B$36)</f>
        <v>310135.98707471811</v>
      </c>
      <c r="G13" s="62">
        <f>C13*Parameters!$C$33*Parameters!$B$46+D13*Parameters!$C$34*Parameters!$B$46</f>
        <v>34560.116631023091</v>
      </c>
      <c r="H13" s="63">
        <f t="shared" si="1"/>
        <v>906746.71804255631</v>
      </c>
      <c r="J13" s="57">
        <f t="shared" si="2"/>
        <v>2029</v>
      </c>
      <c r="K13" s="30">
        <f>J13-Parameters!$B$18+1</f>
        <v>8</v>
      </c>
      <c r="L13" s="76">
        <f>IF(K13&gt;Parameters!$B$38,0,L12*(1-VLOOKUP($E$4+$B13-2,'CI tables'!$A$5:$E$97,4,FALSE)))</f>
        <v>0.98259318773433668</v>
      </c>
      <c r="M13" s="76">
        <f>IF(K13&gt;Parameters!$B$38,0,M12*(1-VLOOKUP($F$4+$B13-2,'CI tables'!$A$5:$E$97,5,FALSE)))</f>
        <v>0.98660228867021216</v>
      </c>
      <c r="N13" s="62">
        <f>IF($B13&gt;Parameters!$B$38,0,L13*VLOOKUP(N$4+$B13-1,'CI tables'!$A$5:$E$97,4,FALSE)*Parameters!$C$33*Parameters!$B$36)</f>
        <v>700097.64626071497</v>
      </c>
      <c r="O13" s="62">
        <f>IF($B13&gt;Parameters!$B$38,0,M13*VLOOKUP(O$4+$B13-1,'CI tables'!$A$5:$E$97,5,FALSE)*Parameters!$C$34*Parameters!$B$36)</f>
        <v>386624.77187263937</v>
      </c>
      <c r="P13" s="62">
        <f>(L13*Parameters!$C$33*Parameters!$B$46+M13*Parameters!$C$34*Parameters!$B$46)*(1+Parameters!$B$54)</f>
        <v>37895.987893213911</v>
      </c>
      <c r="Q13" s="63">
        <f t="shared" si="3"/>
        <v>1124618.4060265683</v>
      </c>
    </row>
    <row r="14" spans="1:17">
      <c r="A14" s="57">
        <f t="shared" si="0"/>
        <v>2030</v>
      </c>
      <c r="B14" s="30">
        <f>A14-Parameters!$B$18+1</f>
        <v>9</v>
      </c>
      <c r="C14" s="76">
        <f>IF(B14&gt;Parameters!$B$38,0,C13*(1-VLOOKUP($E$4+$B14-2,'CI tables'!$A$5:$C$97,2,FALSE)))</f>
        <v>0.98324345629114929</v>
      </c>
      <c r="D14" s="76">
        <f>IF(B14&gt;Parameters!$B$38,0,D13*(1-VLOOKUP($F$4+$B14-2,'CI tables'!$A$5:$C$97,3,FALSE)))</f>
        <v>0.98720192300392984</v>
      </c>
      <c r="E14" s="62">
        <f>IF($B14&gt;Parameters!$B$38,0,C14*VLOOKUP(E$4+$B14-1,'CI tables'!$A$5:$C$97,2,FALSE)*Parameters!$C$33*Parameters!$B$36)</f>
        <v>619443.377463424</v>
      </c>
      <c r="F14" s="62">
        <f>IF($B14&gt;Parameters!$B$38,0,D14*VLOOKUP(F$4+$B14-1,'CI tables'!$A$5:$C$97,3,FALSE)*Parameters!$C$34*Parameters!$B$36)</f>
        <v>334661.45189833222</v>
      </c>
      <c r="G14" s="62">
        <f>C14*Parameters!$C$33*Parameters!$B$46+D14*Parameters!$C$34*Parameters!$B$46</f>
        <v>34472.897970881932</v>
      </c>
      <c r="H14" s="63">
        <f t="shared" si="1"/>
        <v>988577.72733263811</v>
      </c>
      <c r="J14" s="57">
        <f t="shared" si="2"/>
        <v>2030</v>
      </c>
      <c r="K14" s="30">
        <f>J14-Parameters!$B$18+1</f>
        <v>9</v>
      </c>
      <c r="L14" s="76">
        <f>IF(K14&gt;Parameters!$B$38,0,L13*(1-VLOOKUP($E$4+$B14-2,'CI tables'!$A$5:$E$97,4,FALSE)))</f>
        <v>0.97909269950303313</v>
      </c>
      <c r="M14" s="76">
        <f>IF(K14&gt;Parameters!$B$38,0,M13*(1-VLOOKUP($F$4+$B14-2,'CI tables'!$A$5:$E$97,5,FALSE)))</f>
        <v>0.98402479019106126</v>
      </c>
      <c r="N14" s="62">
        <f>IF($B14&gt;Parameters!$B$38,0,L14*VLOOKUP(N$4+$B14-1,'CI tables'!$A$5:$E$97,4,FALSE)*Parameters!$C$33*Parameters!$B$36)</f>
        <v>771035.50085863867</v>
      </c>
      <c r="O14" s="62">
        <f>IF($B14&gt;Parameters!$B$38,0,M14*VLOOKUP(O$4+$B14-1,'CI tables'!$A$5:$E$97,5,FALSE)*Parameters!$C$34*Parameters!$B$36)</f>
        <v>416980.5048434622</v>
      </c>
      <c r="P14" s="62">
        <f>(L14*Parameters!$C$33*Parameters!$B$46+M14*Parameters!$C$34*Parameters!$B$46)*(1+Parameters!$B$54)</f>
        <v>37776.448427219242</v>
      </c>
      <c r="Q14" s="63">
        <f t="shared" si="3"/>
        <v>1225792.4541293201</v>
      </c>
    </row>
    <row r="15" spans="1:17">
      <c r="A15" s="57">
        <f t="shared" si="0"/>
        <v>2031</v>
      </c>
      <c r="B15" s="30">
        <f>A15-Parameters!$B$18+1</f>
        <v>10</v>
      </c>
      <c r="C15" s="76">
        <f>IF(B15&gt;Parameters!$B$38,0,C14*(1-VLOOKUP($E$4+$B15-2,'CI tables'!$A$5:$C$97,2,FALSE)))</f>
        <v>0.98014623940383216</v>
      </c>
      <c r="D15" s="76">
        <f>IF(B15&gt;Parameters!$B$38,0,D14*(1-VLOOKUP($F$4+$B15-2,'CI tables'!$A$5:$C$97,3,FALSE)))</f>
        <v>0.98497084665794088</v>
      </c>
      <c r="E15" s="62">
        <f>IF($B15&gt;Parameters!$B$38,0,C15*VLOOKUP(E$4+$B15-1,'CI tables'!$A$5:$C$97,2,FALSE)*Parameters!$C$33*Parameters!$B$36)</f>
        <v>693943.53749791323</v>
      </c>
      <c r="F15" s="62">
        <f>IF($B15&gt;Parameters!$B$38,0,D15*VLOOKUP(F$4+$B15-1,'CI tables'!$A$5:$C$97,3,FALSE)*Parameters!$C$34*Parameters!$B$36)</f>
        <v>360499.32987680635</v>
      </c>
      <c r="G15" s="62">
        <f>C15*Parameters!$C$33*Parameters!$B$46+D15*Parameters!$C$34*Parameters!$B$46</f>
        <v>34377.487487945757</v>
      </c>
      <c r="H15" s="63">
        <f t="shared" si="1"/>
        <v>1088820.3548626653</v>
      </c>
      <c r="J15" s="57">
        <f t="shared" si="2"/>
        <v>2031</v>
      </c>
      <c r="K15" s="30">
        <f>J15-Parameters!$B$18+1</f>
        <v>10</v>
      </c>
      <c r="L15" s="76">
        <f>IF(K15&gt;Parameters!$B$38,0,L14*(1-VLOOKUP($E$4+$B15-2,'CI tables'!$A$5:$E$97,4,FALSE)))</f>
        <v>0.97523752199873992</v>
      </c>
      <c r="M15" s="76">
        <f>IF(K15&gt;Parameters!$B$38,0,M14*(1-VLOOKUP($F$4+$B15-2,'CI tables'!$A$5:$E$97,5,FALSE)))</f>
        <v>0.98124492015877152</v>
      </c>
      <c r="N15" s="62">
        <f>IF($B15&gt;Parameters!$B$38,0,L15*VLOOKUP(N$4+$B15-1,'CI tables'!$A$5:$E$97,4,FALSE)*Parameters!$C$33*Parameters!$B$36)</f>
        <v>863085.2069688848</v>
      </c>
      <c r="O15" s="62">
        <f>IF($B15&gt;Parameters!$B$38,0,M15*VLOOKUP(O$4+$B15-1,'CI tables'!$A$5:$E$97,5,FALSE)*Parameters!$C$34*Parameters!$B$36)</f>
        <v>448919.55097263795</v>
      </c>
      <c r="P15" s="62">
        <f>(L15*Parameters!$C$33*Parameters!$B$46+M15*Parameters!$C$34*Parameters!$B$46)*(1+Parameters!$B$54)</f>
        <v>37645.766666592011</v>
      </c>
      <c r="Q15" s="63">
        <f t="shared" si="3"/>
        <v>1349650.5246081147</v>
      </c>
    </row>
    <row r="16" spans="1:17">
      <c r="A16" s="57">
        <f t="shared" si="0"/>
        <v>2032</v>
      </c>
      <c r="B16" s="30">
        <f>A16-Parameters!$B$18+1</f>
        <v>11</v>
      </c>
      <c r="C16" s="76">
        <f>IF(B16&gt;Parameters!$B$38,0,C15*(1-VLOOKUP($E$4+$B16-2,'CI tables'!$A$5:$C$97,2,FALSE)))</f>
        <v>0.97667652171634256</v>
      </c>
      <c r="D16" s="76">
        <f>IF(B16&gt;Parameters!$B$38,0,D15*(1-VLOOKUP($F$4+$B16-2,'CI tables'!$A$5:$C$97,3,FALSE)))</f>
        <v>0.9825675177920955</v>
      </c>
      <c r="E16" s="62">
        <f>IF($B16&gt;Parameters!$B$38,0,C16*VLOOKUP(E$4+$B16-1,'CI tables'!$A$5:$C$97,2,FALSE)*Parameters!$C$33*Parameters!$B$36)</f>
        <v>791107.9825902374</v>
      </c>
      <c r="F16" s="62">
        <f>IF($B16&gt;Parameters!$B$38,0,D16*VLOOKUP(F$4+$B16-1,'CI tables'!$A$5:$C$97,3,FALSE)*Parameters!$C$34*Parameters!$B$36)</f>
        <v>386149.03449229355</v>
      </c>
      <c r="G16" s="62">
        <f>C16*Parameters!$C$33*Parameters!$B$46+D16*Parameters!$C$34*Parameters!$B$46</f>
        <v>34272.043201208282</v>
      </c>
      <c r="H16" s="63">
        <f t="shared" si="1"/>
        <v>1211529.0602837394</v>
      </c>
      <c r="J16" s="57">
        <f t="shared" si="2"/>
        <v>2032</v>
      </c>
      <c r="K16" s="30">
        <f>J16-Parameters!$B$18+1</f>
        <v>11</v>
      </c>
      <c r="L16" s="76">
        <f>IF(K16&gt;Parameters!$B$38,0,L15*(1-VLOOKUP($E$4+$B16-2,'CI tables'!$A$5:$E$97,4,FALSE)))</f>
        <v>0.97092209596389545</v>
      </c>
      <c r="M16" s="76">
        <f>IF(K16&gt;Parameters!$B$38,0,M15*(1-VLOOKUP($F$4+$B16-2,'CI tables'!$A$5:$E$97,5,FALSE)))</f>
        <v>0.97825212315228727</v>
      </c>
      <c r="N16" s="62">
        <f>IF($B16&gt;Parameters!$B$38,0,L16*VLOOKUP(N$4+$B16-1,'CI tables'!$A$5:$E$97,4,FALSE)*Parameters!$C$33*Parameters!$B$36)</f>
        <v>983058.62216344406</v>
      </c>
      <c r="O16" s="62">
        <f>IF($B16&gt;Parameters!$B$38,0,M16*VLOOKUP(O$4+$B16-1,'CI tables'!$A$5:$E$97,5,FALSE)*Parameters!$C$34*Parameters!$B$36)</f>
        <v>480566.35549856111</v>
      </c>
      <c r="P16" s="62">
        <f>(L16*Parameters!$C$33*Parameters!$B$46+M16*Parameters!$C$34*Parameters!$B$46)*(1+Parameters!$B$54)</f>
        <v>37501.44614321844</v>
      </c>
      <c r="Q16" s="63">
        <f t="shared" si="3"/>
        <v>1501126.4238052238</v>
      </c>
    </row>
    <row r="17" spans="1:17">
      <c r="A17" s="57">
        <f t="shared" si="0"/>
        <v>2033</v>
      </c>
      <c r="B17" s="30">
        <f>A17-Parameters!$B$18+1</f>
        <v>12</v>
      </c>
      <c r="C17" s="76">
        <f>IF(B17&gt;Parameters!$B$38,0,C16*(1-VLOOKUP($E$4+$B17-2,'CI tables'!$A$5:$C$97,2,FALSE)))</f>
        <v>0.97272098180339139</v>
      </c>
      <c r="D17" s="76">
        <f>IF(B17&gt;Parameters!$B$38,0,D16*(1-VLOOKUP($F$4+$B17-2,'CI tables'!$A$5:$C$97,3,FALSE)))</f>
        <v>0.9799931908954802</v>
      </c>
      <c r="E17" s="62">
        <f>IF($B17&gt;Parameters!$B$38,0,C17*VLOOKUP(E$4+$B17-1,'CI tables'!$A$5:$C$97,2,FALSE)*Parameters!$C$33*Parameters!$B$36)</f>
        <v>896848.74522272707</v>
      </c>
      <c r="F17" s="62">
        <f>IF($B17&gt;Parameters!$B$38,0,D17*VLOOKUP(F$4+$B17-1,'CI tables'!$A$5:$C$97,3,FALSE)*Parameters!$C$34*Parameters!$B$36)</f>
        <v>413067.12996244495</v>
      </c>
      <c r="G17" s="62">
        <f>C17*Parameters!$C$33*Parameters!$B$46+D17*Parameters!$C$34*Parameters!$B$46</f>
        <v>34154.31749950003</v>
      </c>
      <c r="H17" s="63">
        <f t="shared" si="1"/>
        <v>1344070.1926846721</v>
      </c>
      <c r="J17" s="57">
        <f t="shared" si="2"/>
        <v>2033</v>
      </c>
      <c r="K17" s="30">
        <f>J17-Parameters!$B$18+1</f>
        <v>12</v>
      </c>
      <c r="L17" s="76">
        <f>IF(K17&gt;Parameters!$B$38,0,L16*(1-VLOOKUP($E$4+$B17-2,'CI tables'!$A$5:$E$97,4,FALSE)))</f>
        <v>0.96600680285307827</v>
      </c>
      <c r="M17" s="76">
        <f>IF(K17&gt;Parameters!$B$38,0,M16*(1-VLOOKUP($F$4+$B17-2,'CI tables'!$A$5:$E$97,5,FALSE)))</f>
        <v>0.97504834744896351</v>
      </c>
      <c r="N17" s="62">
        <f>IF($B17&gt;Parameters!$B$38,0,L17*VLOOKUP(N$4+$B17-1,'CI tables'!$A$5:$E$97,4,FALSE)*Parameters!$C$33*Parameters!$B$36)</f>
        <v>1113322.8402881729</v>
      </c>
      <c r="O17" s="62">
        <f>IF($B17&gt;Parameters!$B$38,0,M17*VLOOKUP(O$4+$B17-1,'CI tables'!$A$5:$E$97,5,FALSE)*Parameters!$C$34*Parameters!$B$36)</f>
        <v>513728.59806217265</v>
      </c>
      <c r="P17" s="62">
        <f>(L17*Parameters!$C$33*Parameters!$B$46+M17*Parameters!$C$34*Parameters!$B$46)*(1+Parameters!$B$54)</f>
        <v>37340.447395675626</v>
      </c>
      <c r="Q17" s="63">
        <f t="shared" si="3"/>
        <v>1664391.8857460211</v>
      </c>
    </row>
    <row r="18" spans="1:17">
      <c r="A18" s="57">
        <f t="shared" si="0"/>
        <v>2034</v>
      </c>
      <c r="B18" s="30">
        <f>A18-Parameters!$B$18+1</f>
        <v>13</v>
      </c>
      <c r="C18" s="76">
        <f>IF(B18&gt;Parameters!$B$38,0,C17*(1-VLOOKUP($E$4+$B18-2,'CI tables'!$A$5:$C$97,2,FALSE)))</f>
        <v>0.96823673807727773</v>
      </c>
      <c r="D18" s="76">
        <f>IF(B18&gt;Parameters!$B$38,0,D17*(1-VLOOKUP($F$4+$B18-2,'CI tables'!$A$5:$C$97,3,FALSE)))</f>
        <v>0.97723941002906389</v>
      </c>
      <c r="E18" s="62">
        <f>IF($B18&gt;Parameters!$B$38,0,C18*VLOOKUP(E$4+$B18-1,'CI tables'!$A$5:$C$97,2,FALSE)*Parameters!$C$33*Parameters!$B$36)</f>
        <v>1008902.6810765233</v>
      </c>
      <c r="F18" s="62">
        <f>IF($B18&gt;Parameters!$B$38,0,D18*VLOOKUP(F$4+$B18-1,'CI tables'!$A$5:$C$97,3,FALSE)*Parameters!$C$34*Parameters!$B$36)</f>
        <v>441223.5936281223</v>
      </c>
      <c r="G18" s="62">
        <f>C18*Parameters!$C$33*Parameters!$B$46+D18*Parameters!$C$34*Parameters!$B$46</f>
        <v>34023.325911981512</v>
      </c>
      <c r="H18" s="63">
        <f t="shared" si="1"/>
        <v>1484149.6006166271</v>
      </c>
      <c r="J18" s="57">
        <f t="shared" si="2"/>
        <v>2034</v>
      </c>
      <c r="K18" s="30">
        <f>J18-Parameters!$B$18+1</f>
        <v>13</v>
      </c>
      <c r="L18" s="76">
        <f>IF(K18&gt;Parameters!$B$38,0,L17*(1-VLOOKUP($E$4+$B18-2,'CI tables'!$A$5:$E$97,4,FALSE)))</f>
        <v>0.96044018865163738</v>
      </c>
      <c r="M18" s="76">
        <f>IF(K18&gt;Parameters!$B$38,0,M17*(1-VLOOKUP($F$4+$B18-2,'CI tables'!$A$5:$E$97,5,FALSE)))</f>
        <v>0.97162349012854898</v>
      </c>
      <c r="N18" s="62">
        <f>IF($B18&gt;Parameters!$B$38,0,L18*VLOOKUP(N$4+$B18-1,'CI tables'!$A$5:$E$97,4,FALSE)*Parameters!$C$33*Parameters!$B$36)</f>
        <v>1250973.3457187575</v>
      </c>
      <c r="O18" s="62">
        <f>IF($B18&gt;Parameters!$B$38,0,M18*VLOOKUP(O$4+$B18-1,'CI tables'!$A$5:$E$97,5,FALSE)*Parameters!$C$34*Parameters!$B$36)</f>
        <v>548360.00724129984</v>
      </c>
      <c r="P18" s="62">
        <f>(L18*Parameters!$C$33*Parameters!$B$46+M18*Parameters!$C$34*Parameters!$B$46)*(1+Parameters!$B$54)</f>
        <v>37161.471737457083</v>
      </c>
      <c r="Q18" s="63">
        <f t="shared" si="3"/>
        <v>1836494.8246975143</v>
      </c>
    </row>
    <row r="19" spans="1:17">
      <c r="A19" s="57">
        <f t="shared" si="0"/>
        <v>2035</v>
      </c>
      <c r="B19" s="30">
        <f>A19-Parameters!$B$18+1</f>
        <v>14</v>
      </c>
      <c r="C19" s="76">
        <f>IF(B19&gt;Parameters!$B$38,0,C18*(1-VLOOKUP($E$4+$B19-2,'CI tables'!$A$5:$C$97,2,FALSE)))</f>
        <v>0.96319222467189503</v>
      </c>
      <c r="D19" s="76">
        <f>IF(B19&gt;Parameters!$B$38,0,D18*(1-VLOOKUP($F$4+$B19-2,'CI tables'!$A$5:$C$97,3,FALSE)))</f>
        <v>0.97429791940487642</v>
      </c>
      <c r="E19" s="62">
        <f>IF($B19&gt;Parameters!$B$38,0,C19*VLOOKUP(E$4+$B19-1,'CI tables'!$A$5:$C$97,2,FALSE)*Parameters!$C$33*Parameters!$B$36)</f>
        <v>1125008.5184167733</v>
      </c>
      <c r="F19" s="62">
        <f>IF($B19&gt;Parameters!$B$38,0,D19*VLOOKUP(F$4+$B19-1,'CI tables'!$A$5:$C$97,3,FALSE)*Parameters!$C$34*Parameters!$B$36)</f>
        <v>476431.68258898455</v>
      </c>
      <c r="G19" s="62">
        <f>C19*Parameters!$C$33*Parameters!$B$46+D19*Parameters!$C$34*Parameters!$B$46</f>
        <v>33878.313284511045</v>
      </c>
      <c r="H19" s="63">
        <f t="shared" si="1"/>
        <v>1635318.5142902688</v>
      </c>
      <c r="J19" s="57">
        <f t="shared" si="2"/>
        <v>2035</v>
      </c>
      <c r="K19" s="30">
        <f>J19-Parameters!$B$18+1</f>
        <v>14</v>
      </c>
      <c r="L19" s="76">
        <f>IF(K19&gt;Parameters!$B$38,0,L18*(1-VLOOKUP($E$4+$B19-2,'CI tables'!$A$5:$E$97,4,FALSE)))</f>
        <v>0.95418532192304362</v>
      </c>
      <c r="M19" s="76">
        <f>IF(K19&gt;Parameters!$B$38,0,M18*(1-VLOOKUP($F$4+$B19-2,'CI tables'!$A$5:$E$97,5,FALSE)))</f>
        <v>0.96796775674694036</v>
      </c>
      <c r="N19" s="62">
        <f>IF($B19&gt;Parameters!$B$38,0,L19*VLOOKUP(N$4+$B19-1,'CI tables'!$A$5:$E$97,4,FALSE)*Parameters!$C$33*Parameters!$B$36)</f>
        <v>1393110.5700076434</v>
      </c>
      <c r="O19" s="62">
        <f>IF($B19&gt;Parameters!$B$38,0,M19*VLOOKUP(O$4+$B19-1,'CI tables'!$A$5:$E$97,5,FALSE)*Parameters!$C$34*Parameters!$B$36)</f>
        <v>591670.29131156718</v>
      </c>
      <c r="P19" s="62">
        <f>(L19*Parameters!$C$33*Parameters!$B$46+M19*Parameters!$C$34*Parameters!$B$46)*(1+Parameters!$B$54)</f>
        <v>36963.54506863148</v>
      </c>
      <c r="Q19" s="63">
        <f t="shared" si="3"/>
        <v>2021744.406387842</v>
      </c>
    </row>
    <row r="20" spans="1:17">
      <c r="A20" s="57">
        <f t="shared" si="0"/>
        <v>2036</v>
      </c>
      <c r="B20" s="30">
        <f>A20-Parameters!$B$18+1</f>
        <v>15</v>
      </c>
      <c r="C20" s="76">
        <f>IF(B20&gt;Parameters!$B$38,0,C19*(1-VLOOKUP($E$4+$B20-2,'CI tables'!$A$5:$C$97,2,FALSE)))</f>
        <v>0.95756718207981117</v>
      </c>
      <c r="D20" s="76">
        <f>IF(B20&gt;Parameters!$B$38,0,D19*(1-VLOOKUP($F$4+$B20-2,'CI tables'!$A$5:$C$97,3,FALSE)))</f>
        <v>0.97112170818761645</v>
      </c>
      <c r="E20" s="62">
        <f>IF($B20&gt;Parameters!$B$38,0,C20*VLOOKUP(E$4+$B20-1,'CI tables'!$A$5:$C$97,2,FALSE)*Parameters!$C$33*Parameters!$B$36)</f>
        <v>1241007.0679754352</v>
      </c>
      <c r="F20" s="62">
        <f>IF($B20&gt;Parameters!$B$38,0,D20*VLOOKUP(F$4+$B20-1,'CI tables'!$A$5:$C$97,3,FALSE)*Parameters!$C$34*Parameters!$B$36)</f>
        <v>517122.30960990582</v>
      </c>
      <c r="G20" s="62">
        <f>C20*Parameters!$C$33*Parameters!$B$46+D20*Parameters!$C$34*Parameters!$B$46</f>
        <v>33718.16926441047</v>
      </c>
      <c r="H20" s="63">
        <f t="shared" si="1"/>
        <v>1791847.5468497514</v>
      </c>
      <c r="J20" s="57">
        <f t="shared" si="2"/>
        <v>2036</v>
      </c>
      <c r="K20" s="30">
        <f>J20-Parameters!$B$18+1</f>
        <v>15</v>
      </c>
      <c r="L20" s="76">
        <f>IF(K20&gt;Parameters!$B$38,0,L19*(1-VLOOKUP($E$4+$B20-2,'CI tables'!$A$5:$E$97,4,FALSE)))</f>
        <v>0.94721976907300542</v>
      </c>
      <c r="M20" s="76">
        <f>IF(K20&gt;Parameters!$B$38,0,M19*(1-VLOOKUP($F$4+$B20-2,'CI tables'!$A$5:$E$97,5,FALSE)))</f>
        <v>0.96402328813819649</v>
      </c>
      <c r="N20" s="62">
        <f>IF($B20&gt;Parameters!$B$38,0,L20*VLOOKUP(N$4+$B20-1,'CI tables'!$A$5:$E$97,4,FALSE)*Parameters!$C$33*Parameters!$B$36)</f>
        <v>1534496.0258982689</v>
      </c>
      <c r="O20" s="62">
        <f>IF($B20&gt;Parameters!$B$38,0,M20*VLOOKUP(O$4+$B20-1,'CI tables'!$A$5:$E$97,5,FALSE)*Parameters!$C$34*Parameters!$B$36)</f>
        <v>641678.00116698712</v>
      </c>
      <c r="P20" s="62">
        <f>(L20*Parameters!$C$33*Parameters!$B$46+M20*Parameters!$C$34*Parameters!$B$46)*(1+Parameters!$B$54)</f>
        <v>36745.219173886362</v>
      </c>
      <c r="Q20" s="63">
        <f t="shared" si="3"/>
        <v>2212919.2462391425</v>
      </c>
    </row>
    <row r="21" spans="1:17">
      <c r="A21" s="57">
        <f t="shared" si="0"/>
        <v>2037</v>
      </c>
      <c r="B21" s="30">
        <f>A21-Parameters!$B$18+1</f>
        <v>16</v>
      </c>
      <c r="C21" s="76">
        <f>IF(B21&gt;Parameters!$B$38,0,C20*(1-VLOOKUP($E$4+$B21-2,'CI tables'!$A$5:$C$97,2,FALSE)))</f>
        <v>0.95136214673993391</v>
      </c>
      <c r="D21" s="76">
        <f>IF(B21&gt;Parameters!$B$38,0,D20*(1-VLOOKUP($F$4+$B21-2,'CI tables'!$A$5:$C$97,3,FALSE)))</f>
        <v>0.96767422612355036</v>
      </c>
      <c r="E21" s="62">
        <f>IF($B21&gt;Parameters!$B$38,0,C21*VLOOKUP(E$4+$B21-1,'CI tables'!$A$5:$C$97,2,FALSE)*Parameters!$C$33*Parameters!$B$36)</f>
        <v>1358545.1455446256</v>
      </c>
      <c r="F21" s="62">
        <f>IF($B21&gt;Parameters!$B$38,0,D21*VLOOKUP(F$4+$B21-1,'CI tables'!$A$5:$C$97,3,FALSE)*Parameters!$C$34*Parameters!$B$36)</f>
        <v>558831.86558635032</v>
      </c>
      <c r="G21" s="62">
        <f>C21*Parameters!$C$33*Parameters!$B$46+D21*Parameters!$C$34*Parameters!$B$46</f>
        <v>33542.356326651934</v>
      </c>
      <c r="H21" s="63">
        <f t="shared" si="1"/>
        <v>1950919.367457628</v>
      </c>
      <c r="J21" s="57">
        <f t="shared" si="2"/>
        <v>2037</v>
      </c>
      <c r="K21" s="30">
        <f>J21-Parameters!$B$18+1</f>
        <v>16</v>
      </c>
      <c r="L21" s="76">
        <f>IF(K21&gt;Parameters!$B$38,0,L20*(1-VLOOKUP($E$4+$B21-2,'CI tables'!$A$5:$E$97,4,FALSE)))</f>
        <v>0.93954728894351414</v>
      </c>
      <c r="M21" s="76">
        <f>IF(K21&gt;Parameters!$B$38,0,M20*(1-VLOOKUP($F$4+$B21-2,'CI tables'!$A$5:$E$97,5,FALSE)))</f>
        <v>0.9597454347970833</v>
      </c>
      <c r="N21" s="62">
        <f>IF($B21&gt;Parameters!$B$38,0,L21*VLOOKUP(N$4+$B21-1,'CI tables'!$A$5:$E$97,4,FALSE)*Parameters!$C$33*Parameters!$B$36)</f>
        <v>1677091.9107641724</v>
      </c>
      <c r="O21" s="62">
        <f>IF($B21&gt;Parameters!$B$38,0,M21*VLOOKUP(O$4+$B21-1,'CI tables'!$A$5:$E$97,5,FALSE)*Parameters!$C$34*Parameters!$B$36)</f>
        <v>692816.23574414442</v>
      </c>
      <c r="P21" s="62">
        <f>(L21*Parameters!$C$33*Parameters!$B$46+M21*Parameters!$C$34*Parameters!$B$46)*(1+Parameters!$B$54)</f>
        <v>36505.840030909188</v>
      </c>
      <c r="Q21" s="63">
        <f t="shared" si="3"/>
        <v>2406413.986539226</v>
      </c>
    </row>
    <row r="22" spans="1:17">
      <c r="A22" s="57">
        <f t="shared" si="0"/>
        <v>2038</v>
      </c>
      <c r="B22" s="30">
        <f>A22-Parameters!$B$18+1</f>
        <v>17</v>
      </c>
      <c r="C22" s="76">
        <f>IF(B22&gt;Parameters!$B$38,0,C21*(1-VLOOKUP($E$4+$B22-2,'CI tables'!$A$5:$C$97,2,FALSE)))</f>
        <v>0.94456942101221075</v>
      </c>
      <c r="D22" s="76">
        <f>IF(B22&gt;Parameters!$B$38,0,D21*(1-VLOOKUP($F$4+$B22-2,'CI tables'!$A$5:$C$97,3,FALSE)))</f>
        <v>0.96394868035297465</v>
      </c>
      <c r="E22" s="62">
        <f>IF($B22&gt;Parameters!$B$38,0,C22*VLOOKUP(E$4+$B22-1,'CI tables'!$A$5:$C$97,2,FALSE)*Parameters!$C$33*Parameters!$B$36)</f>
        <v>1477306.5744630976</v>
      </c>
      <c r="F22" s="62">
        <f>IF($B22&gt;Parameters!$B$38,0,D22*VLOOKUP(F$4+$B22-1,'CI tables'!$A$5:$C$97,3,FALSE)*Parameters!$C$34*Parameters!$B$36)</f>
        <v>605841.74560184462</v>
      </c>
      <c r="G22" s="62">
        <f>C22*Parameters!$C$33*Parameters!$B$46+D22*Parameters!$C$34*Parameters!$B$46</f>
        <v>33350.618625538838</v>
      </c>
      <c r="H22" s="63">
        <f t="shared" si="1"/>
        <v>2116498.9386904812</v>
      </c>
      <c r="J22" s="57">
        <f t="shared" si="2"/>
        <v>2038</v>
      </c>
      <c r="K22" s="30">
        <f>J22-Parameters!$B$18+1</f>
        <v>17</v>
      </c>
      <c r="L22" s="76">
        <f>IF(K22&gt;Parameters!$B$38,0,L21*(1-VLOOKUP($E$4+$B22-2,'CI tables'!$A$5:$E$97,4,FALSE)))</f>
        <v>0.93116182938969327</v>
      </c>
      <c r="M22" s="76">
        <f>IF(K22&gt;Parameters!$B$38,0,M21*(1-VLOOKUP($F$4+$B22-2,'CI tables'!$A$5:$E$97,5,FALSE)))</f>
        <v>0.95512665989212231</v>
      </c>
      <c r="N22" s="62">
        <f>IF($B22&gt;Parameters!$B$38,0,L22*VLOOKUP(N$4+$B22-1,'CI tables'!$A$5:$E$97,4,FALSE)*Parameters!$C$33*Parameters!$B$36)</f>
        <v>1820421.3764568507</v>
      </c>
      <c r="O22" s="62">
        <f>IF($B22&gt;Parameters!$B$38,0,M22*VLOOKUP(O$4+$B22-1,'CI tables'!$A$5:$E$97,5,FALSE)*Parameters!$C$34*Parameters!$B$36)</f>
        <v>750371.3821777486</v>
      </c>
      <c r="P22" s="62">
        <f>(L22*Parameters!$C$33*Parameters!$B$46+M22*Parameters!$C$34*Parameters!$B$46)*(1+Parameters!$B$54)</f>
        <v>36245.150134793279</v>
      </c>
      <c r="Q22" s="63">
        <f t="shared" si="3"/>
        <v>2607037.9087693929</v>
      </c>
    </row>
    <row r="23" spans="1:17">
      <c r="A23" s="57">
        <f t="shared" si="0"/>
        <v>2039</v>
      </c>
      <c r="B23" s="30">
        <f>A23-Parameters!$B$18+1</f>
        <v>18</v>
      </c>
      <c r="C23" s="76">
        <f>IF(B23&gt;Parameters!$B$38,0,C22*(1-VLOOKUP($E$4+$B23-2,'CI tables'!$A$5:$C$97,2,FALSE)))</f>
        <v>0.93718288813989525</v>
      </c>
      <c r="D23" s="76">
        <f>IF(B23&gt;Parameters!$B$38,0,D22*(1-VLOOKUP($F$4+$B23-2,'CI tables'!$A$5:$C$97,3,FALSE)))</f>
        <v>0.95990973538229563</v>
      </c>
      <c r="E23" s="62">
        <f>IF($B23&gt;Parameters!$B$38,0,C23*VLOOKUP(E$4+$B23-1,'CI tables'!$A$5:$C$97,2,FALSE)*Parameters!$C$33*Parameters!$B$36)</f>
        <v>1604457.1044955007</v>
      </c>
      <c r="F23" s="62">
        <f>IF($B23&gt;Parameters!$B$38,0,D23*VLOOKUP(F$4+$B23-1,'CI tables'!$A$5:$C$97,3,FALSE)*Parameters!$C$34*Parameters!$B$36)</f>
        <v>656578.25900149019</v>
      </c>
      <c r="G23" s="62">
        <f>C23*Parameters!$C$33*Parameters!$B$46+D23*Parameters!$C$34*Parameters!$B$46</f>
        <v>33142.303793532337</v>
      </c>
      <c r="H23" s="63">
        <f t="shared" si="1"/>
        <v>2294177.6672905232</v>
      </c>
      <c r="J23" s="57">
        <f t="shared" si="2"/>
        <v>2039</v>
      </c>
      <c r="K23" s="30">
        <f>J23-Parameters!$B$18+1</f>
        <v>18</v>
      </c>
      <c r="L23" s="76">
        <f>IF(K23&gt;Parameters!$B$38,0,L22*(1-VLOOKUP($E$4+$B23-2,'CI tables'!$A$5:$E$97,4,FALSE)))</f>
        <v>0.92205972250740909</v>
      </c>
      <c r="M23" s="76">
        <f>IF(K23&gt;Parameters!$B$38,0,M22*(1-VLOOKUP($F$4+$B23-2,'CI tables'!$A$5:$E$97,5,FALSE)))</f>
        <v>0.95012418401093734</v>
      </c>
      <c r="N23" s="62">
        <f>IF($B23&gt;Parameters!$B$38,0,L23*VLOOKUP(N$4+$B23-1,'CI tables'!$A$5:$E$97,4,FALSE)*Parameters!$C$33*Parameters!$B$36)</f>
        <v>1973207.8061658556</v>
      </c>
      <c r="O23" s="62">
        <f>IF($B23&gt;Parameters!$B$38,0,M23*VLOOKUP(O$4+$B23-1,'CI tables'!$A$5:$E$97,5,FALSE)*Parameters!$C$34*Parameters!$B$36)</f>
        <v>812356.17732935154</v>
      </c>
      <c r="P23" s="62">
        <f>(L23*Parameters!$C$33*Parameters!$B$46+M23*Parameters!$C$34*Parameters!$B$46)*(1+Parameters!$B$54)</f>
        <v>35962.362931343465</v>
      </c>
      <c r="Q23" s="63">
        <f t="shared" si="3"/>
        <v>2821526.3464265503</v>
      </c>
    </row>
    <row r="24" spans="1:17">
      <c r="A24" s="57">
        <f t="shared" si="0"/>
        <v>2040</v>
      </c>
      <c r="B24" s="30">
        <f>A24-Parameters!$B$18+1</f>
        <v>19</v>
      </c>
      <c r="C24" s="76">
        <f>IF(B24&gt;Parameters!$B$38,0,C23*(1-VLOOKUP($E$4+$B24-2,'CI tables'!$A$5:$C$97,2,FALSE)))</f>
        <v>0.92916060261741773</v>
      </c>
      <c r="D24" s="76">
        <f>IF(B24&gt;Parameters!$B$38,0,D23*(1-VLOOKUP($F$4+$B24-2,'CI tables'!$A$5:$C$97,3,FALSE)))</f>
        <v>0.9555325469889524</v>
      </c>
      <c r="E24" s="62">
        <f>IF($B24&gt;Parameters!$B$38,0,C24*VLOOKUP(E$4+$B24-1,'CI tables'!$A$5:$C$97,2,FALSE)*Parameters!$C$33*Parameters!$B$36)</f>
        <v>1748680.25412598</v>
      </c>
      <c r="F24" s="62">
        <f>IF($B24&gt;Parameters!$B$38,0,D24*VLOOKUP(F$4+$B24-1,'CI tables'!$A$5:$C$97,3,FALSE)*Parameters!$C$34*Parameters!$B$36)</f>
        <v>708049.61731881381</v>
      </c>
      <c r="G24" s="62">
        <f>C24*Parameters!$C$33*Parameters!$B$46+D24*Parameters!$C$34*Parameters!$B$46</f>
        <v>32916.200257182645</v>
      </c>
      <c r="H24" s="63">
        <f t="shared" si="1"/>
        <v>2489646.0717019765</v>
      </c>
      <c r="J24" s="57">
        <f t="shared" si="2"/>
        <v>2040</v>
      </c>
      <c r="K24" s="30">
        <f>J24-Parameters!$B$18+1</f>
        <v>19</v>
      </c>
      <c r="L24" s="76">
        <f>IF(K24&gt;Parameters!$B$38,0,L23*(1-VLOOKUP($E$4+$B24-2,'CI tables'!$A$5:$E$97,4,FALSE)))</f>
        <v>0.91219368347657981</v>
      </c>
      <c r="M24" s="76">
        <f>IF(K24&gt;Parameters!$B$38,0,M23*(1-VLOOKUP($F$4+$B24-2,'CI tables'!$A$5:$E$97,5,FALSE)))</f>
        <v>0.94470847616207498</v>
      </c>
      <c r="N24" s="62">
        <f>IF($B24&gt;Parameters!$B$38,0,L24*VLOOKUP(N$4+$B24-1,'CI tables'!$A$5:$E$97,4,FALSE)*Parameters!$C$33*Parameters!$B$36)</f>
        <v>2145935.640378654</v>
      </c>
      <c r="O24" s="62">
        <f>IF($B24&gt;Parameters!$B$38,0,M24*VLOOKUP(O$4+$B24-1,'CI tables'!$A$5:$E$97,5,FALSE)*Parameters!$C$34*Parameters!$B$36)</f>
        <v>875036.2260451219</v>
      </c>
      <c r="P24" s="62">
        <f>(L24*Parameters!$C$33*Parameters!$B$46+M24*Parameters!$C$34*Parameters!$B$46)*(1+Parameters!$B$54)</f>
        <v>35655.950893158995</v>
      </c>
      <c r="Q24" s="63">
        <f t="shared" si="3"/>
        <v>3056627.8173169349</v>
      </c>
    </row>
    <row r="25" spans="1:17">
      <c r="A25" s="57">
        <f t="shared" si="0"/>
        <v>2041</v>
      </c>
      <c r="B25" s="30">
        <f>A25-Parameters!$B$18+1</f>
        <v>20</v>
      </c>
      <c r="C25" s="76">
        <f>IF(B25&gt;Parameters!$B$38,0,C24*(1-VLOOKUP($E$4+$B25-2,'CI tables'!$A$5:$C$97,2,FALSE)))</f>
        <v>0.92041720134678784</v>
      </c>
      <c r="D25" s="76">
        <f>IF(B25&gt;Parameters!$B$38,0,D24*(1-VLOOKUP($F$4+$B25-2,'CI tables'!$A$5:$C$97,3,FALSE)))</f>
        <v>0.95081221620682699</v>
      </c>
      <c r="E25" s="62">
        <f>IF($B25&gt;Parameters!$B$38,0,C25*VLOOKUP(E$4+$B25-1,'CI tables'!$A$5:$C$97,2,FALSE)*Parameters!$C$33*Parameters!$B$36)</f>
        <v>1908945.2755932382</v>
      </c>
      <c r="F25" s="62">
        <f>IF($B25&gt;Parameters!$B$38,0,D25*VLOOKUP(F$4+$B25-1,'CI tables'!$A$5:$C$97,3,FALSE)*Parameters!$C$34*Parameters!$B$36)</f>
        <v>763026.80350597866</v>
      </c>
      <c r="G25" s="62">
        <f>C25*Parameters!$C$33*Parameters!$B$46+D25*Parameters!$C$34*Parameters!$B$46</f>
        <v>32670.527270038161</v>
      </c>
      <c r="H25" s="63">
        <f t="shared" si="1"/>
        <v>2704642.6063692551</v>
      </c>
      <c r="J25" s="57">
        <f t="shared" si="2"/>
        <v>2041</v>
      </c>
      <c r="K25" s="30">
        <f>J25-Parameters!$B$18+1</f>
        <v>20</v>
      </c>
      <c r="L25" s="76">
        <f>IF(K25&gt;Parameters!$B$38,0,L24*(1-VLOOKUP($E$4+$B25-2,'CI tables'!$A$5:$E$97,4,FALSE)))</f>
        <v>0.90146400527468651</v>
      </c>
      <c r="M25" s="76">
        <f>IF(K25&gt;Parameters!$B$38,0,M24*(1-VLOOKUP($F$4+$B25-2,'CI tables'!$A$5:$E$97,5,FALSE)))</f>
        <v>0.93887490132177409</v>
      </c>
      <c r="N25" s="62">
        <f>IF($B25&gt;Parameters!$B$38,0,L25*VLOOKUP(N$4+$B25-1,'CI tables'!$A$5:$E$97,4,FALSE)*Parameters!$C$33*Parameters!$B$36)</f>
        <v>2337045.4336746251</v>
      </c>
      <c r="O25" s="62">
        <f>IF($B25&gt;Parameters!$B$38,0,M25*VLOOKUP(O$4+$B25-1,'CI tables'!$A$5:$E$97,5,FALSE)*Parameters!$C$34*Parameters!$B$36)</f>
        <v>941808.88538840471</v>
      </c>
      <c r="P25" s="62">
        <f>(L25*Parameters!$C$33*Parameters!$B$46+M25*Parameters!$C$34*Parameters!$B$46)*(1+Parameters!$B$54)</f>
        <v>35323.643987852382</v>
      </c>
      <c r="Q25" s="63">
        <f t="shared" si="3"/>
        <v>3314177.9630508823</v>
      </c>
    </row>
    <row r="26" spans="1:17">
      <c r="A26" s="57">
        <f t="shared" si="0"/>
        <v>2042</v>
      </c>
      <c r="B26" s="30">
        <f>A26-Parameters!$B$18+1</f>
        <v>21</v>
      </c>
      <c r="C26" s="76">
        <f>IF(B26&gt;Parameters!$B$38,0,C25*(1-VLOOKUP($E$4+$B26-2,'CI tables'!$A$5:$C$97,2,FALSE)))</f>
        <v>0.91087247496882162</v>
      </c>
      <c r="D26" s="76">
        <f>IF(B26&gt;Parameters!$B$38,0,D25*(1-VLOOKUP($F$4+$B26-2,'CI tables'!$A$5:$C$97,3,FALSE)))</f>
        <v>0.94572537085012054</v>
      </c>
      <c r="E26" s="62">
        <f>IF($B26&gt;Parameters!$B$38,0,C26*VLOOKUP(E$4+$B26-1,'CI tables'!$A$5:$C$97,2,FALSE)*Parameters!$C$33*Parameters!$B$36)</f>
        <v>2084076.2227286638</v>
      </c>
      <c r="F26" s="62">
        <f>IF($B26&gt;Parameters!$B$38,0,D26*VLOOKUP(F$4+$B26-1,'CI tables'!$A$5:$C$97,3,FALSE)*Parameters!$C$34*Parameters!$B$36)</f>
        <v>818525.30847077921</v>
      </c>
      <c r="G26" s="62">
        <f>C26*Parameters!$C$33*Parameters!$B$46+D26*Parameters!$C$34*Parameters!$B$46</f>
        <v>32403.33006212824</v>
      </c>
      <c r="H26" s="63">
        <f t="shared" si="1"/>
        <v>2935004.8612615713</v>
      </c>
      <c r="J26" s="57">
        <f t="shared" si="2"/>
        <v>2042</v>
      </c>
      <c r="K26" s="30">
        <f>J26-Parameters!$B$18+1</f>
        <v>21</v>
      </c>
      <c r="L26" s="76">
        <f>IF(K26&gt;Parameters!$B$38,0,L25*(1-VLOOKUP($E$4+$B26-2,'CI tables'!$A$5:$E$97,4,FALSE)))</f>
        <v>0.88977877810631345</v>
      </c>
      <c r="M26" s="76">
        <f>IF(K26&gt;Parameters!$B$38,0,M25*(1-VLOOKUP($F$4+$B26-2,'CI tables'!$A$5:$E$97,5,FALSE)))</f>
        <v>0.93259617541918471</v>
      </c>
      <c r="N26" s="62">
        <f>IF($B26&gt;Parameters!$B$38,0,L26*VLOOKUP(N$4+$B26-1,'CI tables'!$A$5:$E$97,4,FALSE)*Parameters!$C$33*Parameters!$B$36)</f>
        <v>2544767.3053840562</v>
      </c>
      <c r="O26" s="62">
        <f>IF($B26&gt;Parameters!$B$38,0,M26*VLOOKUP(O$4+$B26-1,'CI tables'!$A$5:$E$97,5,FALSE)*Parameters!$C$34*Parameters!$B$36)</f>
        <v>1008952.4872816305</v>
      </c>
      <c r="P26" s="62">
        <f>(L26*Parameters!$C$33*Parameters!$B$46+M26*Parameters!$C$34*Parameters!$B$46)*(1+Parameters!$B$54)</f>
        <v>34962.970012755446</v>
      </c>
      <c r="Q26" s="63">
        <f t="shared" si="3"/>
        <v>3588682.7626784421</v>
      </c>
    </row>
    <row r="27" spans="1:17">
      <c r="A27" s="57">
        <f t="shared" si="0"/>
        <v>2043</v>
      </c>
      <c r="B27" s="30">
        <f>A27-Parameters!$B$18+1</f>
        <v>22</v>
      </c>
      <c r="C27" s="76">
        <f>IF(B27&gt;Parameters!$B$38,0,C26*(1-VLOOKUP($E$4+$B27-2,'CI tables'!$A$5:$C$97,2,FALSE)))</f>
        <v>0.90045209385517833</v>
      </c>
      <c r="D27" s="76">
        <f>IF(B27&gt;Parameters!$B$38,0,D26*(1-VLOOKUP($F$4+$B27-2,'CI tables'!$A$5:$C$97,3,FALSE)))</f>
        <v>0.9402685354603153</v>
      </c>
      <c r="E27" s="62">
        <f>IF($B27&gt;Parameters!$B$38,0,C27*VLOOKUP(E$4+$B27-1,'CI tables'!$A$5:$C$97,2,FALSE)*Parameters!$C$33*Parameters!$B$36)</f>
        <v>2279944.7016413114</v>
      </c>
      <c r="F27" s="62">
        <f>IF($B27&gt;Parameters!$B$38,0,D27*VLOOKUP(F$4+$B27-1,'CI tables'!$A$5:$C$97,3,FALSE)*Parameters!$C$34*Parameters!$B$36)</f>
        <v>873039.33517490281</v>
      </c>
      <c r="G27" s="62">
        <f>C27*Parameters!$C$33*Parameters!$B$46+D27*Parameters!$C$34*Parameters!$B$46</f>
        <v>32113.069909008293</v>
      </c>
      <c r="H27" s="63">
        <f t="shared" si="1"/>
        <v>3185097.1067252224</v>
      </c>
      <c r="J27" s="57">
        <f t="shared" si="2"/>
        <v>2043</v>
      </c>
      <c r="K27" s="30">
        <f>J27-Parameters!$B$18+1</f>
        <v>22</v>
      </c>
      <c r="L27" s="76">
        <f>IF(K27&gt;Parameters!$B$38,0,L26*(1-VLOOKUP($E$4+$B27-2,'CI tables'!$A$5:$E$97,4,FALSE)))</f>
        <v>0.87705494157939323</v>
      </c>
      <c r="M27" s="76">
        <f>IF(K27&gt;Parameters!$B$38,0,M26*(1-VLOOKUP($F$4+$B27-2,'CI tables'!$A$5:$E$97,5,FALSE)))</f>
        <v>0.9258698255039739</v>
      </c>
      <c r="N27" s="62">
        <f>IF($B27&gt;Parameters!$B$38,0,L27*VLOOKUP(N$4+$B27-1,'CI tables'!$A$5:$E$97,4,FALSE)*Parameters!$C$33*Parameters!$B$36)</f>
        <v>2775878.8900987795</v>
      </c>
      <c r="O27" s="62">
        <f>IF($B27&gt;Parameters!$B$38,0,M27*VLOOKUP(O$4+$B27-1,'CI tables'!$A$5:$E$97,5,FALSE)*Parameters!$C$34*Parameters!$B$36)</f>
        <v>1074587.6662255498</v>
      </c>
      <c r="P27" s="62">
        <f>(L27*Parameters!$C$33*Parameters!$B$46+M27*Parameters!$C$34*Parameters!$B$46)*(1+Parameters!$B$54)</f>
        <v>34572.060835562224</v>
      </c>
      <c r="Q27" s="63">
        <f t="shared" si="3"/>
        <v>3885038.6171598914</v>
      </c>
    </row>
    <row r="28" spans="1:17">
      <c r="A28" s="57">
        <f t="shared" si="0"/>
        <v>2044</v>
      </c>
      <c r="B28" s="30">
        <f>A28-Parameters!$B$18+1</f>
        <v>23</v>
      </c>
      <c r="C28" s="76">
        <f>IF(B28&gt;Parameters!$B$38,0,C27*(1-VLOOKUP($E$4+$B28-2,'CI tables'!$A$5:$C$97,2,FALSE)))</f>
        <v>0.88905237034697171</v>
      </c>
      <c r="D28" s="76">
        <f>IF(B28&gt;Parameters!$B$38,0,D27*(1-VLOOKUP($F$4+$B28-2,'CI tables'!$A$5:$C$97,3,FALSE)))</f>
        <v>0.93444827322581592</v>
      </c>
      <c r="E28" s="62">
        <f>IF($B28&gt;Parameters!$B$38,0,C28*VLOOKUP(E$4+$B28-1,'CI tables'!$A$5:$C$97,2,FALSE)*Parameters!$C$33*Parameters!$B$36)</f>
        <v>2503571.4748970722</v>
      </c>
      <c r="F28" s="62">
        <f>IF($B28&gt;Parameters!$B$38,0,D28*VLOOKUP(F$4+$B28-1,'CI tables'!$A$5:$C$97,3,FALSE)*Parameters!$C$34*Parameters!$B$36)</f>
        <v>929308.80772307387</v>
      </c>
      <c r="G28" s="62">
        <f>C28*Parameters!$C$33*Parameters!$B$46+D28*Parameters!$C$34*Parameters!$B$46</f>
        <v>31797.771505326673</v>
      </c>
      <c r="H28" s="63">
        <f t="shared" si="1"/>
        <v>3464678.0541254724</v>
      </c>
      <c r="J28" s="57">
        <f t="shared" si="2"/>
        <v>2044</v>
      </c>
      <c r="K28" s="30">
        <f>J28-Parameters!$B$18+1</f>
        <v>23</v>
      </c>
      <c r="L28" s="76">
        <f>IF(K28&gt;Parameters!$B$38,0,L27*(1-VLOOKUP($E$4+$B28-2,'CI tables'!$A$5:$E$97,4,FALSE)))</f>
        <v>0.86317554712889932</v>
      </c>
      <c r="M28" s="76">
        <f>IF(K28&gt;Parameters!$B$38,0,M27*(1-VLOOKUP($F$4+$B28-2,'CI tables'!$A$5:$E$97,5,FALSE)))</f>
        <v>0.91870590772913696</v>
      </c>
      <c r="N28" s="62">
        <f>IF($B28&gt;Parameters!$B$38,0,L28*VLOOKUP(N$4+$B28-1,'CI tables'!$A$5:$E$97,4,FALSE)*Parameters!$C$33*Parameters!$B$36)</f>
        <v>3038377.9258937258</v>
      </c>
      <c r="O28" s="62">
        <f>IF($B28&gt;Parameters!$B$38,0,M28*VLOOKUP(O$4+$B28-1,'CI tables'!$A$5:$E$97,5,FALSE)*Parameters!$C$34*Parameters!$B$36)</f>
        <v>1142066.2815457834</v>
      </c>
      <c r="P28" s="62">
        <f>(L28*Parameters!$C$33*Parameters!$B$46+M28*Parameters!$C$34*Parameters!$B$46)*(1+Parameters!$B$54)</f>
        <v>34148.509514366546</v>
      </c>
      <c r="Q28" s="63">
        <f t="shared" si="3"/>
        <v>4214592.7169538755</v>
      </c>
    </row>
    <row r="29" spans="1:17">
      <c r="A29" s="57">
        <f t="shared" si="0"/>
        <v>2045</v>
      </c>
      <c r="B29" s="30">
        <f>A29-Parameters!$B$18+1</f>
        <v>24</v>
      </c>
      <c r="C29" s="76">
        <f>IF(B29&gt;Parameters!$B$38,0,C28*(1-VLOOKUP($E$4+$B29-2,'CI tables'!$A$5:$C$97,2,FALSE)))</f>
        <v>0.87653451297248641</v>
      </c>
      <c r="D29" s="76">
        <f>IF(B29&gt;Parameters!$B$38,0,D28*(1-VLOOKUP($F$4+$B29-2,'CI tables'!$A$5:$C$97,3,FALSE)))</f>
        <v>0.92825288117432869</v>
      </c>
      <c r="E29" s="62">
        <f>IF($B29&gt;Parameters!$B$38,0,C29*VLOOKUP(E$4+$B29-1,'CI tables'!$A$5:$C$97,2,FALSE)*Parameters!$C$33*Parameters!$B$36)</f>
        <v>2761083.7158633322</v>
      </c>
      <c r="F29" s="62">
        <f>IF($B29&gt;Parameters!$B$38,0,D29*VLOOKUP(F$4+$B29-1,'CI tables'!$A$5:$C$97,3,FALSE)*Parameters!$C$34*Parameters!$B$36)</f>
        <v>988589.31845066033</v>
      </c>
      <c r="G29" s="62">
        <f>C29*Parameters!$C$33*Parameters!$B$46+D29*Parameters!$C$34*Parameters!$B$46</f>
        <v>31454.483477064656</v>
      </c>
      <c r="H29" s="63">
        <f t="shared" si="1"/>
        <v>3781127.5177910575</v>
      </c>
      <c r="J29" s="57">
        <f t="shared" si="2"/>
        <v>2045</v>
      </c>
      <c r="K29" s="30">
        <f>J29-Parameters!$B$18+1</f>
        <v>24</v>
      </c>
      <c r="L29" s="76">
        <f>IF(K29&gt;Parameters!$B$38,0,L28*(1-VLOOKUP($E$4+$B29-2,'CI tables'!$A$5:$E$97,4,FALSE)))</f>
        <v>0.84798365749943072</v>
      </c>
      <c r="M29" s="76">
        <f>IF(K29&gt;Parameters!$B$38,0,M28*(1-VLOOKUP($F$4+$B29-2,'CI tables'!$A$5:$E$97,5,FALSE)))</f>
        <v>0.9110921325188317</v>
      </c>
      <c r="N29" s="62">
        <f>IF($B29&gt;Parameters!$B$38,0,L29*VLOOKUP(N$4+$B29-1,'CI tables'!$A$5:$E$97,4,FALSE)*Parameters!$C$33*Parameters!$B$36)</f>
        <v>3338935.6514040083</v>
      </c>
      <c r="O29" s="62">
        <f>IF($B29&gt;Parameters!$B$38,0,M29*VLOOKUP(O$4+$B29-1,'CI tables'!$A$5:$E$97,5,FALSE)*Parameters!$C$34*Parameters!$B$36)</f>
        <v>1212891.401415695</v>
      </c>
      <c r="P29" s="62">
        <f>(L29*Parameters!$C$33*Parameters!$B$46+M29*Parameters!$C$34*Parameters!$B$46)*(1+Parameters!$B$54)</f>
        <v>33688.660651548205</v>
      </c>
      <c r="Q29" s="63">
        <f t="shared" si="3"/>
        <v>4585515.7134712506</v>
      </c>
    </row>
    <row r="30" spans="1:17" ht="15" thickBot="1">
      <c r="A30" s="66">
        <f t="shared" si="0"/>
        <v>2046</v>
      </c>
      <c r="B30" s="67">
        <f>A30-Parameters!$B$18+1</f>
        <v>25</v>
      </c>
      <c r="C30" s="77">
        <f>IF(B30&gt;Parameters!$B$38,0,C29*(1-VLOOKUP($E$4+$B30-2,'CI tables'!$A$5:$C$97,2,FALSE)))</f>
        <v>0.86272909439316969</v>
      </c>
      <c r="D30" s="77">
        <f>IF(B30&gt;Parameters!$B$38,0,D29*(1-VLOOKUP($F$4+$B30-2,'CI tables'!$A$5:$C$97,3,FALSE)))</f>
        <v>0.92166228571799091</v>
      </c>
      <c r="E30" s="68">
        <f>IF($B30&gt;Parameters!$B$38,0,C30*VLOOKUP(E$4+$B30-1,'CI tables'!$A$5:$C$97,2,FALSE)*Parameters!$C$33*Parameters!$B$36)</f>
        <v>3031630.0376975983</v>
      </c>
      <c r="F30" s="68">
        <f>IF($B30&gt;Parameters!$B$38,0,D30*VLOOKUP(F$4+$B30-1,'CI tables'!$A$5:$C$97,3,FALSE)*Parameters!$C$34*Parameters!$B$36)</f>
        <v>1057607.4728613945</v>
      </c>
      <c r="G30" s="68">
        <f>C30*Parameters!$C$33*Parameters!$B$46+D30*Parameters!$C$34*Parameters!$B$46</f>
        <v>31079.516173633259</v>
      </c>
      <c r="H30" s="69">
        <f t="shared" si="1"/>
        <v>4120317.0267326259</v>
      </c>
      <c r="J30" s="66">
        <f t="shared" si="2"/>
        <v>2046</v>
      </c>
      <c r="K30" s="67">
        <f>J30-Parameters!$B$18+1</f>
        <v>25</v>
      </c>
      <c r="L30" s="77">
        <f>IF(K30&gt;Parameters!$B$38,0,L29*(1-VLOOKUP($E$4+$B30-2,'CI tables'!$A$5:$E$97,4,FALSE)))</f>
        <v>0.83128897924241074</v>
      </c>
      <c r="M30" s="77">
        <f>IF(K30&gt;Parameters!$B$38,0,M29*(1-VLOOKUP($F$4+$B30-2,'CI tables'!$A$5:$E$97,5,FALSE)))</f>
        <v>0.90300618984272707</v>
      </c>
      <c r="N30" s="68">
        <f>IF($B30&gt;Parameters!$B$38,0,L30*VLOOKUP(N$4+$B30-1,'CI tables'!$A$5:$E$97,4,FALSE)*Parameters!$C$33*Parameters!$B$36)</f>
        <v>3651436.8413222888</v>
      </c>
      <c r="O30" s="68">
        <f>IF($B30&gt;Parameters!$B$38,0,M30*VLOOKUP(O$4+$B30-1,'CI tables'!$A$5:$E$97,5,FALSE)*Parameters!$C$34*Parameters!$B$36)</f>
        <v>1295249.5035556615</v>
      </c>
      <c r="P30" s="68">
        <f>(L30*Parameters!$C$33*Parameters!$B$46+M30*Parameters!$C$34*Parameters!$B$46)*(1+Parameters!$B$54)</f>
        <v>33187.959675738035</v>
      </c>
      <c r="Q30" s="69">
        <f t="shared" si="3"/>
        <v>4979874.3045536885</v>
      </c>
    </row>
    <row r="31" spans="1:17">
      <c r="H31" s="9"/>
      <c r="Q31" s="9"/>
    </row>
    <row r="32" spans="1:17">
      <c r="C32" s="9"/>
      <c r="D32" s="9"/>
      <c r="E32" s="9"/>
      <c r="F32" s="9"/>
      <c r="G32" s="9"/>
      <c r="H32" s="9"/>
      <c r="L32" s="9"/>
      <c r="M32" s="9"/>
      <c r="N32" s="9"/>
      <c r="O32" s="9"/>
      <c r="P32" s="9"/>
      <c r="Q32" s="9"/>
    </row>
    <row r="33" spans="5:17">
      <c r="H33" s="9"/>
      <c r="Q33" s="9"/>
    </row>
    <row r="34" spans="5:17">
      <c r="E34" s="22"/>
      <c r="H34" s="9"/>
      <c r="J34" s="29"/>
      <c r="N34" s="22"/>
      <c r="Q34" s="9"/>
    </row>
    <row r="35" spans="5:17">
      <c r="E35" s="22"/>
      <c r="H35" s="9"/>
      <c r="N35" s="22"/>
      <c r="Q35" s="9"/>
    </row>
    <row r="36" spans="5:17">
      <c r="H36" s="9"/>
      <c r="Q36" s="9"/>
    </row>
    <row r="37" spans="5:17">
      <c r="H37" s="9"/>
      <c r="Q37" s="9"/>
    </row>
    <row r="38" spans="5:17">
      <c r="H38" s="9"/>
      <c r="Q38" s="9"/>
    </row>
    <row r="39" spans="5:17">
      <c r="H39" s="9"/>
      <c r="Q39" s="9"/>
    </row>
    <row r="40" spans="5:17">
      <c r="H40" s="9"/>
      <c r="Q40" s="9"/>
    </row>
    <row r="41" spans="5:17">
      <c r="H41" s="9"/>
      <c r="Q41" s="9"/>
    </row>
    <row r="42" spans="5:17">
      <c r="H42" s="9"/>
      <c r="Q42" s="9"/>
    </row>
    <row r="43" spans="5:17">
      <c r="H43" s="9"/>
      <c r="Q43" s="9"/>
    </row>
    <row r="44" spans="5:17">
      <c r="H44" s="9"/>
      <c r="Q44" s="9"/>
    </row>
    <row r="45" spans="5:17">
      <c r="H45" s="9"/>
      <c r="Q45" s="9"/>
    </row>
    <row r="46" spans="5:17">
      <c r="H46" s="9"/>
      <c r="Q46" s="9"/>
    </row>
    <row r="47" spans="5:17">
      <c r="H47" s="9"/>
      <c r="Q47" s="9"/>
    </row>
    <row r="48" spans="5:17">
      <c r="H48" s="9"/>
      <c r="Q48" s="9"/>
    </row>
    <row r="49" spans="8:17">
      <c r="H49" s="9"/>
      <c r="Q49" s="9"/>
    </row>
    <row r="50" spans="8:17">
      <c r="H50" s="9"/>
      <c r="Q50" s="9"/>
    </row>
    <row r="51" spans="8:17">
      <c r="H51" s="9"/>
      <c r="Q51" s="9"/>
    </row>
    <row r="52" spans="8:17">
      <c r="H52" s="9"/>
      <c r="Q52" s="9"/>
    </row>
    <row r="53" spans="8:17">
      <c r="H53" s="9"/>
      <c r="Q53" s="9"/>
    </row>
    <row r="54" spans="8:17">
      <c r="H54" s="9"/>
      <c r="Q54" s="9"/>
    </row>
    <row r="55" spans="8:17">
      <c r="H55" s="9"/>
      <c r="Q55" s="9"/>
    </row>
    <row r="56" spans="8:17">
      <c r="H56" s="9"/>
      <c r="Q56" s="9"/>
    </row>
    <row r="57" spans="8:17">
      <c r="H57" s="9"/>
      <c r="Q57" s="9"/>
    </row>
    <row r="58" spans="8:17">
      <c r="H58" s="9"/>
      <c r="Q58" s="9"/>
    </row>
    <row r="59" spans="8:17">
      <c r="H59" s="9"/>
      <c r="Q59" s="9"/>
    </row>
    <row r="60" spans="8:17">
      <c r="H60" s="9"/>
      <c r="Q60" s="9"/>
    </row>
    <row r="61" spans="8:17">
      <c r="H61" s="9"/>
      <c r="Q61" s="9"/>
    </row>
    <row r="62" spans="8:17">
      <c r="H62" s="9"/>
      <c r="Q62" s="9"/>
    </row>
    <row r="63" spans="8:17">
      <c r="H63" s="9"/>
      <c r="Q63" s="9"/>
    </row>
    <row r="64" spans="8:17">
      <c r="H64" s="9"/>
      <c r="Q64" s="9"/>
    </row>
  </sheetData>
  <mergeCells count="2">
    <mergeCell ref="E3:F3"/>
    <mergeCell ref="N3:O3"/>
  </mergeCells>
  <printOptions gridLines="1"/>
  <pageMargins left="0.7" right="0.7" top="0.75" bottom="0.75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9"/>
  <sheetViews>
    <sheetView workbookViewId="0"/>
  </sheetViews>
  <sheetFormatPr defaultColWidth="8.90625" defaultRowHeight="14.5"/>
  <cols>
    <col min="1" max="1" width="23.36328125" style="1" bestFit="1" customWidth="1"/>
    <col min="2" max="2" width="14.36328125" style="1" bestFit="1" customWidth="1"/>
    <col min="3" max="3" width="12.6328125" style="1" customWidth="1"/>
    <col min="4" max="4" width="13" style="1" customWidth="1"/>
    <col min="5" max="5" width="12.453125" style="1" customWidth="1"/>
    <col min="6" max="6" width="17.54296875" style="1" customWidth="1"/>
    <col min="7" max="7" width="12.36328125" style="1" bestFit="1" customWidth="1"/>
    <col min="8" max="8" width="9.6328125" style="1" bestFit="1" customWidth="1"/>
    <col min="9" max="10" width="8.90625" style="1"/>
    <col min="11" max="11" width="12.08984375" style="1" bestFit="1" customWidth="1"/>
    <col min="12" max="12" width="13.36328125" style="1" bestFit="1" customWidth="1"/>
    <col min="13" max="13" width="17.90625" style="1" bestFit="1" customWidth="1"/>
    <col min="14" max="14" width="12" style="1" bestFit="1" customWidth="1"/>
    <col min="15" max="15" width="12.453125" style="1" bestFit="1" customWidth="1"/>
    <col min="16" max="16" width="16.6328125" style="1" bestFit="1" customWidth="1"/>
    <col min="17" max="17" width="9" style="1" bestFit="1" customWidth="1"/>
    <col min="18" max="16384" width="8.90625" style="1"/>
  </cols>
  <sheetData>
    <row r="1" spans="1:13">
      <c r="A1" s="3" t="s">
        <v>74</v>
      </c>
    </row>
    <row r="3" spans="1:13">
      <c r="A3" s="3" t="s">
        <v>1</v>
      </c>
    </row>
    <row r="5" spans="1:13">
      <c r="B5" s="32" t="s">
        <v>66</v>
      </c>
      <c r="G5" s="32"/>
      <c r="L5" s="32"/>
    </row>
    <row r="6" spans="1:13">
      <c r="A6" s="1" t="s">
        <v>32</v>
      </c>
      <c r="B6" s="9">
        <f>'TA projections'!AB6</f>
        <v>24658792.909293428</v>
      </c>
      <c r="C6" s="9"/>
      <c r="G6" s="9"/>
      <c r="H6" s="9"/>
      <c r="L6" s="9"/>
      <c r="M6" s="46"/>
    </row>
    <row r="7" spans="1:13">
      <c r="A7" s="1" t="s">
        <v>47</v>
      </c>
      <c r="B7" s="9">
        <f>'TA projections'!BE6</f>
        <v>28696575.73864444</v>
      </c>
      <c r="C7" s="9"/>
      <c r="G7" s="9"/>
      <c r="H7" s="9"/>
      <c r="L7" s="9"/>
      <c r="M7" s="9"/>
    </row>
    <row r="8" spans="1:13">
      <c r="A8" s="1" t="s">
        <v>59</v>
      </c>
      <c r="B8" s="22">
        <f>B7-B6</f>
        <v>4037782.8293510117</v>
      </c>
      <c r="C8" s="22"/>
      <c r="G8" s="9"/>
      <c r="H8" s="9"/>
      <c r="L8" s="9"/>
      <c r="M8" s="9"/>
    </row>
    <row r="11" spans="1:13">
      <c r="A11" s="3" t="s">
        <v>60</v>
      </c>
    </row>
    <row r="13" spans="1:13">
      <c r="A13" s="32" t="s">
        <v>61</v>
      </c>
      <c r="B13" s="9"/>
    </row>
    <row r="15" spans="1:13" ht="15" thickBot="1">
      <c r="B15" s="9"/>
    </row>
    <row r="16" spans="1:13" ht="44" thickBot="1">
      <c r="A16" s="4"/>
      <c r="B16" s="4" t="s">
        <v>62</v>
      </c>
      <c r="C16" s="4" t="s">
        <v>64</v>
      </c>
      <c r="E16" s="48" t="s">
        <v>69</v>
      </c>
      <c r="F16" s="49" t="s">
        <v>70</v>
      </c>
      <c r="G16" s="27" t="s">
        <v>63</v>
      </c>
    </row>
    <row r="17" spans="1:7" ht="15" thickBot="1">
      <c r="A17" s="33" t="s">
        <v>1</v>
      </c>
      <c r="B17" s="23">
        <f>$B$8</f>
        <v>4037782.8293510117</v>
      </c>
      <c r="C17" s="24">
        <f>IF(B17=MAX($B17:$B19),Parameters!$B$64,Parameters!$B$59)</f>
        <v>1</v>
      </c>
      <c r="E17" s="25">
        <f>SUMPRODUCT(B17:B19,C17:C19)</f>
        <v>4037782.8293510117</v>
      </c>
      <c r="F17" s="26">
        <f>E17+$B$6</f>
        <v>28696575.73864444</v>
      </c>
      <c r="G17" s="28">
        <f>F17/$B$6</f>
        <v>1.1637461673085079</v>
      </c>
    </row>
    <row r="18" spans="1:7" ht="15" thickBot="1">
      <c r="A18" s="6" t="s">
        <v>10</v>
      </c>
      <c r="B18" s="6"/>
      <c r="C18" s="24">
        <f>IF(B18=MAX($B17:$B19),Parameters!$B$64,Parameters!$B$60)</f>
        <v>-0.25</v>
      </c>
    </row>
    <row r="19" spans="1:7" ht="15" thickBot="1">
      <c r="A19" s="6" t="s">
        <v>17</v>
      </c>
      <c r="B19" s="6"/>
      <c r="C19" s="24">
        <f>IF(B19=MAX($B17:$B19),Parameters!$B$64,Parameters!$B$61)</f>
        <v>0.4</v>
      </c>
    </row>
  </sheetData>
  <printOptions gridLines="1"/>
  <pageMargins left="0.7" right="0.7" top="0.75" bottom="0.75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2" ma:contentTypeDescription="Create a new document." ma:contentTypeScope="" ma:versionID="27c14dac76adf4dbf34c58f1b348cfe6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cc9f69d2129291b816aaac278eb8c153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A5767D-36C1-426A-BE4F-67ABEE6ED677}"/>
</file>

<file path=customXml/itemProps2.xml><?xml version="1.0" encoding="utf-8"?>
<ds:datastoreItem xmlns:ds="http://schemas.openxmlformats.org/officeDocument/2006/customXml" ds:itemID="{AEDC57CA-178A-4779-A9B9-B6120447C81B}"/>
</file>

<file path=customXml/itemProps3.xml><?xml version="1.0" encoding="utf-8"?>
<ds:datastoreItem xmlns:ds="http://schemas.openxmlformats.org/officeDocument/2006/customXml" ds:itemID="{267B6234-3D02-4486-8005-8173CA60A7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Parameters</vt:lpstr>
      <vt:lpstr>Mortality tables</vt:lpstr>
      <vt:lpstr>CI tables</vt:lpstr>
      <vt:lpstr>TA projections</vt:lpstr>
      <vt:lpstr>Annuity projections</vt:lpstr>
      <vt:lpstr>CI projections</vt:lpstr>
      <vt:lpstr>Overall capital calculations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Vickersmith (Ben/Ret, Birmingham (Colmore Circus))</dc:creator>
  <cp:lastModifiedBy>alexa486</cp:lastModifiedBy>
  <dcterms:created xsi:type="dcterms:W3CDTF">2019-09-27T19:28:13Z</dcterms:created>
  <dcterms:modified xsi:type="dcterms:W3CDTF">2021-01-13T20:51:38Z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700311-1b20-487f-9129-30717d50ca8e_Enabled">
    <vt:lpwstr>True</vt:lpwstr>
  </property>
  <property fmtid="{D5CDD505-2E9C-101B-9397-08002B2CF9AE}" pid="3" name="MSIP_Label_9c700311-1b20-487f-9129-30717d50ca8e_SiteId">
    <vt:lpwstr>76e3921f-489b-4b7e-9547-9ea297add9b5</vt:lpwstr>
  </property>
  <property fmtid="{D5CDD505-2E9C-101B-9397-08002B2CF9AE}" pid="4" name="MSIP_Label_9c700311-1b20-487f-9129-30717d50ca8e_Owner">
    <vt:lpwstr>aj.vickersmith@towerswatson.com</vt:lpwstr>
  </property>
  <property fmtid="{D5CDD505-2E9C-101B-9397-08002B2CF9AE}" pid="5" name="MSIP_Label_9c700311-1b20-487f-9129-30717d50ca8e_SetDate">
    <vt:lpwstr>2020-11-07T11:41:55.6006442Z</vt:lpwstr>
  </property>
  <property fmtid="{D5CDD505-2E9C-101B-9397-08002B2CF9AE}" pid="6" name="MSIP_Label_9c700311-1b20-487f-9129-30717d50ca8e_Name">
    <vt:lpwstr>Confidential</vt:lpwstr>
  </property>
  <property fmtid="{D5CDD505-2E9C-101B-9397-08002B2CF9AE}" pid="7" name="MSIP_Label_9c700311-1b20-487f-9129-30717d50ca8e_Application">
    <vt:lpwstr>Microsoft Azure Information Protection</vt:lpwstr>
  </property>
  <property fmtid="{D5CDD505-2E9C-101B-9397-08002B2CF9AE}" pid="8" name="MSIP_Label_9c700311-1b20-487f-9129-30717d50ca8e_ActionId">
    <vt:lpwstr>d82a8cc7-fbbd-43ab-a28f-b33464bc4937</vt:lpwstr>
  </property>
  <property fmtid="{D5CDD505-2E9C-101B-9397-08002B2CF9AE}" pid="9" name="MSIP_Label_9c700311-1b20-487f-9129-30717d50ca8e_Extended_MSFT_Method">
    <vt:lpwstr>Automatic</vt:lpwstr>
  </property>
  <property fmtid="{D5CDD505-2E9C-101B-9397-08002B2CF9AE}" pid="10" name="MSIP_Label_d347b247-e90e-43a3-9d7b-004f14ae6873_Enabled">
    <vt:lpwstr>True</vt:lpwstr>
  </property>
  <property fmtid="{D5CDD505-2E9C-101B-9397-08002B2CF9AE}" pid="11" name="MSIP_Label_d347b247-e90e-43a3-9d7b-004f14ae6873_SiteId">
    <vt:lpwstr>76e3921f-489b-4b7e-9547-9ea297add9b5</vt:lpwstr>
  </property>
  <property fmtid="{D5CDD505-2E9C-101B-9397-08002B2CF9AE}" pid="12" name="MSIP_Label_d347b247-e90e-43a3-9d7b-004f14ae6873_Owner">
    <vt:lpwstr>aj.vickersmith@towerswatson.com</vt:lpwstr>
  </property>
  <property fmtid="{D5CDD505-2E9C-101B-9397-08002B2CF9AE}" pid="13" name="MSIP_Label_d347b247-e90e-43a3-9d7b-004f14ae6873_SetDate">
    <vt:lpwstr>2020-11-07T11:41:55.6006442Z</vt:lpwstr>
  </property>
  <property fmtid="{D5CDD505-2E9C-101B-9397-08002B2CF9AE}" pid="14" name="MSIP_Label_d347b247-e90e-43a3-9d7b-004f14ae6873_Name">
    <vt:lpwstr>Anyone (No Protection)</vt:lpwstr>
  </property>
  <property fmtid="{D5CDD505-2E9C-101B-9397-08002B2CF9AE}" pid="15" name="MSIP_Label_d347b247-e90e-43a3-9d7b-004f14ae6873_Application">
    <vt:lpwstr>Microsoft Azure Information Protection</vt:lpwstr>
  </property>
  <property fmtid="{D5CDD505-2E9C-101B-9397-08002B2CF9AE}" pid="16" name="MSIP_Label_d347b247-e90e-43a3-9d7b-004f14ae6873_ActionId">
    <vt:lpwstr>d82a8cc7-fbbd-43ab-a28f-b33464bc4937</vt:lpwstr>
  </property>
  <property fmtid="{D5CDD505-2E9C-101B-9397-08002B2CF9AE}" pid="17" name="MSIP_Label_d347b247-e90e-43a3-9d7b-004f14ae6873_Parent">
    <vt:lpwstr>9c700311-1b20-487f-9129-30717d50ca8e</vt:lpwstr>
  </property>
  <property fmtid="{D5CDD505-2E9C-101B-9397-08002B2CF9AE}" pid="18" name="MSIP_Label_d347b247-e90e-43a3-9d7b-004f14ae6873_Extended_MSFT_Method">
    <vt:lpwstr>Automatic</vt:lpwstr>
  </property>
  <property fmtid="{D5CDD505-2E9C-101B-9397-08002B2CF9AE}" pid="19" name="MSIP_Label_90c2fedb-0da6-4717-8531-d16a1b9930f4_Enabled">
    <vt:lpwstr>True</vt:lpwstr>
  </property>
  <property fmtid="{D5CDD505-2E9C-101B-9397-08002B2CF9AE}" pid="20" name="MSIP_Label_90c2fedb-0da6-4717-8531-d16a1b9930f4_SiteId">
    <vt:lpwstr>45597f60-6e37-4be7-acfb-4c9e23b261ea</vt:lpwstr>
  </property>
  <property fmtid="{D5CDD505-2E9C-101B-9397-08002B2CF9AE}" pid="21" name="MSIP_Label_90c2fedb-0da6-4717-8531-d16a1b9930f4_Owner">
    <vt:lpwstr>Angela_Hames@swissre.com</vt:lpwstr>
  </property>
  <property fmtid="{D5CDD505-2E9C-101B-9397-08002B2CF9AE}" pid="22" name="MSIP_Label_90c2fedb-0da6-4717-8531-d16a1b9930f4_SetDate">
    <vt:lpwstr>2019-09-29T14:41:58.2926211Z</vt:lpwstr>
  </property>
  <property fmtid="{D5CDD505-2E9C-101B-9397-08002B2CF9AE}" pid="23" name="MSIP_Label_90c2fedb-0da6-4717-8531-d16a1b9930f4_Name">
    <vt:lpwstr>Internal</vt:lpwstr>
  </property>
  <property fmtid="{D5CDD505-2E9C-101B-9397-08002B2CF9AE}" pid="24" name="MSIP_Label_90c2fedb-0da6-4717-8531-d16a1b9930f4_Application">
    <vt:lpwstr>Microsoft Azure Information Protection</vt:lpwstr>
  </property>
  <property fmtid="{D5CDD505-2E9C-101B-9397-08002B2CF9AE}" pid="25" name="MSIP_Label_90c2fedb-0da6-4717-8531-d16a1b9930f4_Extended_MSFT_Method">
    <vt:lpwstr>Automatic</vt:lpwstr>
  </property>
  <property fmtid="{D5CDD505-2E9C-101B-9397-08002B2CF9AE}" pid="26" name="Sensitivity">
    <vt:lpwstr>Confidential Anyone (No Protection) Internal</vt:lpwstr>
  </property>
  <property fmtid="{D5CDD505-2E9C-101B-9397-08002B2CF9AE}" pid="27" name="ContentTypeId">
    <vt:lpwstr>0x010100BDC43C60E4A30943911717CC463D6A41</vt:lpwstr>
  </property>
</Properties>
</file>